
<file path=[Content_Types].xml><?xml version="1.0" encoding="utf-8"?>
<Types xmlns="http://schemas.openxmlformats.org/package/2006/content-types">
  <Default Extension="xml" ContentType="application/xml"/>
  <Default Extension="rels" ContentType="application/vnd.openxmlformats-package.relationships+xml"/>
  <Default Extension="jp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bin" ContentType="application/vnd.openxmlformats-officedocument.wordprocessingml.printerSettings"/>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worksheets/sheet.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workbookPr date1904="1"/>
  <bookViews>
    <workbookView xWindow="0" yWindow="40" windowWidth="15960" windowHeight="18080"/>
  </bookViews>
  <sheets>
    <sheet name="Résumé de l’exportation" sheetId="1" r:id="rId3"/>
    <sheet name="Déplacements - Notes" sheetId="2" r:id="rId4"/>
    <sheet name="Déplacements - par personne" sheetId="3" r:id="rId5"/>
    <sheet name="Déplacements - par Raison (proj" sheetId="4" r:id="rId6"/>
    <sheet name="Déplacements - par véhicule" sheetId="5" r:id="rId7"/>
    <sheet name="Déplacements - Budget et suivi" sheetId="6" r:id="rId8"/>
    <sheet name="Déplacements - Politiques" sheetId="7" r:id="rId9"/>
  </sheets>
</workbook>
</file>

<file path=xl/sharedStrings.xml><?xml version="1.0" encoding="utf-8"?>
<sst xmlns="http://schemas.openxmlformats.org/spreadsheetml/2006/main" uniqueCount="169">
  <si>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</si>
  <si>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</si>
  <si>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</si>
  <si>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</si>
  <si>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Déplacements</t>
  </si>
  <si>
    <t>Notes</t>
  </si>
  <si>
    <t>Déplacements - Notes</t>
  </si>
  <si>
    <t>Les tableaux</t>
  </si>
  <si>
    <t>Indications générales sur les tableaux.</t>
  </si>
  <si>
    <t>Politiques</t>
  </si>
  <si>
    <t xml:space="preserve">Les politiques pouvant être testées à l'aide de la comptabilité de développement durable. </t>
  </si>
  <si>
    <t xml:space="preserve">Exploration sommaire des particularités économiques,environnementales et sociales de diverses politiques de frais de déplacement. </t>
  </si>
  <si>
    <t xml:space="preserve">Déplacements par véhicules </t>
  </si>
  <si>
    <t>Le tableau à remplir lors des déplacements.</t>
  </si>
  <si>
    <t>Une ligne par véhicule. Un trajet prend plusieurs lignes si on change de type de véhicule.</t>
  </si>
  <si>
    <t xml:space="preserve">La première ligne d'entête contient la description des colonnes. </t>
  </si>
  <si>
    <t>La deuxième ligne contient la référence aux unités de mesure. Elle contient également la répartition des montants économiques à octroyer au chauffeur et aux passagers.</t>
  </si>
  <si>
    <t>Le pourcentage indiqué pour le chauffeur est celui lorsqu'il n'a pas de passagers. Le pourcentage pour les passagers est déterminé sans égard au nombre de passagers.</t>
  </si>
  <si>
    <t>Le pourcentage réel du chauffeur est déterminé en fonction du nombre de passagers.</t>
  </si>
  <si>
    <t xml:space="preserve">Les lignes suivantes contiennent les informations qu'il faut renseigner: </t>
  </si>
  <si>
    <t xml:space="preserve">la date, la raison du trajet, le point de départ et d'arrivée du trajet, le nombre de kilomètres du trajet, </t>
  </si>
  <si>
    <t>la durée du trajet, le coeficient de consommation du type de vehicule, le nom du chauffeur et des passagers s'il y en a, et la qualité du trajet.</t>
  </si>
  <si>
    <t xml:space="preserve">Les autres colonnes peuvent être cachées car elles sont calculées pour donner des résultats intermédiaires. </t>
  </si>
  <si>
    <t xml:space="preserve">Les colonnes Date, Raison,Trajet, Longueur et chauffeur sont communes dans tous les relevés pour remboursement de frais de déplacements. </t>
  </si>
  <si>
    <t>Elles sont nécessaires pour la comptabilité économique. Elles seront également utiles pour les comptabilités environnementales et sociales.</t>
  </si>
  <si>
    <t>La colonne Vehicule est spécifique à la comptabilité environnementale. On y inscrit un coefficient pour la consommation d'energie du vehicule utilisé. 1 pour une voiture ordinaire,  ces chiffres sont standard.</t>
  </si>
  <si>
    <t xml:space="preserve">La colonne Durée et la colonne Valeur sociale sont spécifiques à la comptabilité sociale. </t>
  </si>
  <si>
    <t xml:space="preserve">Les colonnes pour les passagers sont nécessaires pour l'application de politique de covoiturage. Elles sont utiles pour les comptablités économiques environnementales et sociales. </t>
  </si>
  <si>
    <t>Le tableau comporte des colonnes permettant des calculs intermédiaires. On peut les masquer.</t>
  </si>
  <si>
    <t xml:space="preserve">La ligne des totaux en bas de ce tableau contient des éléments qui sont reportés dans le tableau du suivi du budget.  </t>
  </si>
  <si>
    <t xml:space="preserve">Déplacements par personne </t>
  </si>
  <si>
    <t xml:space="preserve">Ce tableau se remplit automatiquement sauf pour le nom des personnes et les valeurs unitaires. </t>
  </si>
  <si>
    <t xml:space="preserve">La première colonne permet d'identifier chaque personne impliquée dans les déplacements. </t>
  </si>
  <si>
    <t xml:space="preserve">Les identifications des personnes doivent être écrites sans faute de façon identique à l'inscription dans les colonnes Chauffeur ou Passager du tableau des déplacements par véhicules.  </t>
  </si>
  <si>
    <t xml:space="preserve">Les colonnes suivantes établissent les montants pour chaque individu dans les trois comptabilités économique, environnementale et sociale. </t>
  </si>
  <si>
    <t>Budget et suivi</t>
  </si>
  <si>
    <t>Le budget établit la prévision des revenus et des dépenses dans les trois domaines économique, environnemental et social.</t>
  </si>
  <si>
    <t>Le suivi établit le contrôle des revenus et des dépenses dans les trois domaines économique, environnemental et social.</t>
  </si>
  <si>
    <t xml:space="preserve">Chaque transaction est comptabilisée selon chaque point de vue économique, environnementale et social avec l'unité de compte appropriée. </t>
  </si>
  <si>
    <t>Pour faire la comptabilité dans ces trois domaines, la transaction est reprise sur trois lignes distribuées dans trois parties du tableau pour le rendre plus lisible.</t>
  </si>
  <si>
    <t>Le budget mélange les lignes de revenus et de dépenses pour rendre les gains et pertes plus visibles, en liaison directe avec l'action. La première colonne précisela nature de revenu ou de dépense de la ligne.</t>
  </si>
  <si>
    <t>Les unités, mesures, valeurs et montants</t>
  </si>
  <si>
    <t xml:space="preserve">Référence générale </t>
  </si>
  <si>
    <t>http://www.designvegetal.com/gadrat/d/developpement-durable/dd-comptabilite.html</t>
  </si>
  <si>
    <t>McaEE</t>
  </si>
  <si>
    <t>Mètre carré d'environnement équilibré: valeur de 0 à 1. De ravagé à environnement durable</t>
  </si>
  <si>
    <t>0,37 Kg de CO2 pour 1 m.ca de forêt. Mesure moyenne dans la région de Montréal</t>
  </si>
  <si>
    <t>0,24 Kg de CO2 par km. Mesure moyenne pour une voiture ordinaire</t>
  </si>
  <si>
    <t xml:space="preserve">Valeur environnementale du km. Valeur moyenne pour la région de Montréal </t>
  </si>
  <si>
    <t>qv</t>
  </si>
  <si>
    <t xml:space="preserve">Qualité de vie: valeur de -1 à 1 ou 0 à 5 étoiles. De pourri à excellente </t>
  </si>
  <si>
    <t>hqv</t>
  </si>
  <si>
    <t>Heure de qualité de vie: montant cummulé. Ce chiffrier ne vérifie pas les plafonnements.</t>
  </si>
  <si>
    <t>Plus de détails</t>
  </si>
  <si>
    <t>http://www.designvegetal.com/gadrat/d/developpement-durable/dd-comptabilite-deplacements.html</t>
  </si>
  <si>
    <t>par personne</t>
  </si>
  <si>
    <t>Déplacements - par personne</t>
  </si>
  <si>
    <t>Économie</t>
  </si>
  <si>
    <t>Environnement</t>
  </si>
  <si>
    <t>Social</t>
  </si>
  <si>
    <t>Reconnaissance TC</t>
  </si>
  <si>
    <t>Qui</t>
  </si>
  <si>
    <t>Montant</t>
  </si>
  <si>
    <t>Unité</t>
  </si>
  <si>
    <t>Vincent</t>
  </si>
  <si>
    <t>$</t>
  </si>
  <si>
    <t>KrtKdo</t>
  </si>
  <si>
    <t>Fanny</t>
  </si>
  <si>
    <t>Bruno</t>
  </si>
  <si>
    <t>Philippe</t>
  </si>
  <si>
    <t>Denis</t>
  </si>
  <si>
    <t>Émilie</t>
  </si>
  <si>
    <t>Total</t>
  </si>
  <si>
    <t>par Raison (projet)</t>
  </si>
  <si>
    <t>Déplacements - par Raison (proj</t>
  </si>
  <si>
    <t>Quoi</t>
  </si>
  <si>
    <t>Comission énergie</t>
  </si>
  <si>
    <t>AGA</t>
  </si>
  <si>
    <t>CARN</t>
  </si>
  <si>
    <t>Aut30</t>
  </si>
  <si>
    <t>par véhicule</t>
  </si>
  <si>
    <t>Déplacements - par véhicule</t>
  </si>
  <si>
    <t>Date</t>
  </si>
  <si>
    <t>Raison (projet)</t>
  </si>
  <si>
    <t>Trajet (description)</t>
  </si>
  <si>
    <t>Longueur</t>
  </si>
  <si>
    <t>Durée</t>
  </si>
  <si>
    <t>Véhicule</t>
  </si>
  <si>
    <t>Chauffeur</t>
  </si>
  <si>
    <t>Passager 1</t>
  </si>
  <si>
    <t>Passager 2</t>
  </si>
  <si>
    <t>Passager 3</t>
  </si>
  <si>
    <t>Passager 4</t>
  </si>
  <si>
    <t>Valeur sociale</t>
  </si>
  <si>
    <t>Nombre de personnes</t>
  </si>
  <si>
    <t>Sans covoiturage</t>
  </si>
  <si>
    <t>Montant économique entreprise</t>
  </si>
  <si>
    <t>Coefficient véhicule</t>
  </si>
  <si>
    <t>Responsabilité indivivuelle</t>
  </si>
  <si>
    <t>Montant environ. entreprise</t>
  </si>
  <si>
    <t>Montant social individuel</t>
  </si>
  <si>
    <t>Durée trajet employés</t>
  </si>
  <si>
    <t>Bénéfice social entreprise</t>
  </si>
  <si>
    <t>Déficit social entreprise</t>
  </si>
  <si>
    <t>Montant social entreprise</t>
  </si>
  <si>
    <t>Km en TC</t>
  </si>
  <si>
    <t>km</t>
  </si>
  <si>
    <t>h déc.</t>
  </si>
  <si>
    <t>0,40</t>
  </si>
  <si>
    <t>$/Km</t>
  </si>
  <si>
    <t>km/pers</t>
  </si>
  <si>
    <t>0,65</t>
  </si>
  <si>
    <t>McaEE/Km</t>
  </si>
  <si>
    <t>h dec.</t>
  </si>
  <si>
    <t>KrtKdo/km</t>
  </si>
  <si>
    <t>Montréal -MSH (Aller-retour)</t>
  </si>
  <si>
    <t>1 - Voiture</t>
  </si>
  <si>
    <t>1</t>
  </si>
  <si>
    <t>MSH - Longueuil (Aller-retour)</t>
  </si>
  <si>
    <t>Marieville à Longueuil</t>
  </si>
  <si>
    <t>Longueuil à Montréal</t>
  </si>
  <si>
    <t>*0,04 - Métro</t>
  </si>
  <si>
    <t>Montréal à Longueuil</t>
  </si>
  <si>
    <t>0,6 - Voiture hybride</t>
  </si>
  <si>
    <t>0,6</t>
  </si>
  <si>
    <t>Longueuil à Marieville</t>
  </si>
  <si>
    <t>Longueuil Marieville</t>
  </si>
  <si>
    <t>Longueuil Marieville (aller retour)</t>
  </si>
  <si>
    <t>Total ou moyenne</t>
  </si>
  <si>
    <t>Gain ou valeur</t>
  </si>
  <si>
    <t>Déplacements - Budget et suivi</t>
  </si>
  <si>
    <t>Revenu Dépense</t>
  </si>
  <si>
    <t>Catégorie</t>
  </si>
  <si>
    <t>Quantité budgété</t>
  </si>
  <si>
    <t>Valeur unitaire</t>
  </si>
  <si>
    <t>Montant budgété</t>
  </si>
  <si>
    <t>Quantité réalisée</t>
  </si>
  <si>
    <t>Montant réalisé</t>
  </si>
  <si>
    <t>Différence</t>
  </si>
  <si>
    <t>Différence %</t>
  </si>
  <si>
    <t>Economie</t>
  </si>
  <si>
    <t>Revenus de déplacements</t>
  </si>
  <si>
    <t>Frais de déplacements</t>
  </si>
  <si>
    <r>
      <rPr>
        <sz val="14"/>
        <color indexed="12"/>
        <rFont val="Helvetica Neue Light"/>
      </rPr>
      <t>0,40</t>
    </r>
  </si>
  <si>
    <t>Compensation carbone</t>
  </si>
  <si>
    <t>Gain carbone</t>
  </si>
  <si>
    <t>Achat forêt durable</t>
  </si>
  <si>
    <t>m.ca</t>
  </si>
  <si>
    <t>Empreinte environnement</t>
  </si>
  <si>
    <r>
      <rPr>
        <sz val="14"/>
        <color indexed="12"/>
        <rFont val="Helvetica Neue Light"/>
      </rPr>
      <t>0,65</t>
    </r>
  </si>
  <si>
    <t>Déplacements de bonne qualité</t>
  </si>
  <si>
    <t>h</t>
  </si>
  <si>
    <t>Déplacements de mauvaise qualité</t>
  </si>
  <si>
    <t>Déplacements - Politiques</t>
  </si>
  <si>
    <t>Pas de remboursement</t>
  </si>
  <si>
    <t>Pas de revenu ni de dépense pour l'entreprise. La dépense est supportée par les employés.</t>
  </si>
  <si>
    <t>Pas de revenu. La dépense est supportée par la nature.</t>
  </si>
  <si>
    <t>Revenu ou dépense selon la qualité du déplacement.</t>
  </si>
  <si>
    <t>Remboursement du chauffeur uniquement</t>
  </si>
  <si>
    <t xml:space="preserve">La dépense  est supportée par l'entreprise. Revenu pour le chauffeur. Les passagers supportent les réductions de dépense de l'entreprise. </t>
  </si>
  <si>
    <t>La dépense est supportée par la nature. La réduction de dépense par le covoiturage est supportée par les employés.</t>
  </si>
  <si>
    <t>Revenu ou dépense selon la qualité du déplacement. Qualité améliorée par la propriété du véhicule.</t>
  </si>
  <si>
    <t>Remboursement du chauffeur et des passagers</t>
  </si>
  <si>
    <t xml:space="preserve">La dépense est supportée par l'entreprise, indépendamment du covoiturage. Revenu pour le chauffeur et pour les passagers. </t>
  </si>
  <si>
    <t xml:space="preserve">La dépense est supportée par la nature, mais réduite par le covoiturage. </t>
  </si>
  <si>
    <t xml:space="preserve">Revenu ou dépense selon la qualité du déplacement. Qualité améliorée par la propriété du véhicule et par la convivialité des passagers. </t>
  </si>
  <si>
    <t>Remboursement du chauffeur, des passagers et de la nature</t>
  </si>
  <si>
    <t>La dépense est supportée par l'entreprise, indépendamment du covoiturage. Revenu pour le chauffeur et les passagers. Montant réservé pour la nature.</t>
  </si>
  <si>
    <t>La dépense est réduite par le covoiturage. La dépense en nature est compensée et peut facilement être remboursée au-delà de son montant. Il y a un gain en nature.</t>
  </si>
</sst>
</file>

<file path=xl/styles.xml><?xml version="1.0" encoding="utf-8"?>
<styleSheet xmlns="http://schemas.openxmlformats.org/spreadsheetml/2006/main">
  <numFmts count="4">
    <numFmt numFmtId="0" formatCode="General"/>
    <numFmt numFmtId="59" formatCode="d mmm yyyy"/>
    <numFmt numFmtId="60" formatCode="#,##0.00%"/>
    <numFmt numFmtId="61" formatCode="0.0000"/>
  </numFmts>
  <fonts count="8">
    <font>
      <sz val="12"/>
      <color indexed="8"/>
      <name val="Verdana"/>
    </font>
    <font>
      <sz val="14"/>
      <color indexed="8"/>
      <name val="Verdana"/>
    </font>
    <font>
      <u val="single"/>
      <sz val="12"/>
      <color indexed="11"/>
      <name val="Verdana"/>
    </font>
    <font>
      <sz val="14"/>
      <color indexed="12"/>
      <name val="Helvetica Neue Light"/>
    </font>
    <font>
      <b val="1"/>
      <sz val="18"/>
      <color indexed="13"/>
      <name val="Helvetica Light"/>
    </font>
    <font>
      <b val="1"/>
      <sz val="14"/>
      <color indexed="14"/>
      <name val="Helvetica Neue"/>
    </font>
    <font>
      <b val="1"/>
      <sz val="14"/>
      <color indexed="17"/>
      <name val="Helvetica Neue"/>
    </font>
    <font>
      <b val="1"/>
      <sz val="21"/>
      <color indexed="17"/>
      <name val="Helvetica Neue"/>
    </font>
  </fonts>
  <fills count="11">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5"/>
        <bgColor auto="1"/>
      </patternFill>
    </fill>
    <fill>
      <patternFill patternType="solid">
        <fgColor indexed="18"/>
        <bgColor auto="1"/>
      </patternFill>
    </fill>
    <fill>
      <patternFill patternType="solid">
        <fgColor indexed="20"/>
        <bgColor auto="1"/>
      </patternFill>
    </fill>
    <fill>
      <patternFill patternType="solid">
        <fgColor indexed="21"/>
        <bgColor auto="1"/>
      </patternFill>
    </fill>
    <fill>
      <patternFill patternType="solid">
        <fgColor indexed="22"/>
        <bgColor auto="1"/>
      </patternFill>
    </fill>
    <fill>
      <patternFill patternType="solid">
        <fgColor indexed="24"/>
        <bgColor auto="1"/>
      </patternFill>
    </fill>
    <fill>
      <patternFill patternType="solid">
        <fgColor indexed="14"/>
        <bgColor auto="1"/>
      </patternFill>
    </fill>
  </fills>
  <borders count="59">
    <border>
      <left/>
      <right/>
      <top/>
      <bottom/>
      <diagonal/>
    </border>
    <border>
      <left/>
      <right/>
      <top/>
      <bottom>
        <color indexed="16"/>
      </bottom>
      <diagonal/>
    </border>
    <border>
      <left/>
      <right style="thin">
        <color indexed="19"/>
      </right>
      <top/>
      <bottom/>
      <diagonal/>
    </border>
    <border>
      <left style="thin">
        <color indexed="19"/>
      </left>
      <right/>
      <top>
        <color indexed="16"/>
      </top>
      <bottom/>
      <diagonal/>
    </border>
    <border>
      <left/>
      <right/>
      <top>
        <color indexed="16"/>
      </top>
      <bottom/>
      <diagonal/>
    </border>
    <border>
      <left style="thin">
        <color indexed="19"/>
      </left>
      <right/>
      <top/>
      <bottom/>
      <diagonal/>
    </border>
    <border>
      <left/>
      <right/>
      <top/>
      <bottom/>
      <diagonal/>
    </border>
    <border>
      <left/>
      <right/>
      <top>
        <color indexed="14"/>
      </top>
      <bottom/>
      <diagonal/>
    </border>
    <border>
      <left/>
      <right/>
      <top/>
      <bottom style="thin">
        <color indexed="23"/>
      </bottom>
      <diagonal/>
    </border>
    <border>
      <left/>
      <right/>
      <top style="thin">
        <color indexed="23"/>
      </top>
      <bottom>
        <color indexed="16"/>
      </bottom>
      <diagonal/>
    </border>
    <border>
      <left/>
      <right style="thick">
        <color indexed="25"/>
      </right>
      <top/>
      <bottom style="thin">
        <color indexed="23"/>
      </bottom>
      <diagonal/>
    </border>
    <border>
      <left style="thick">
        <color indexed="25"/>
      </left>
      <right/>
      <top/>
      <bottom style="thin">
        <color indexed="23"/>
      </bottom>
      <diagonal/>
    </border>
    <border>
      <left style="thick">
        <color indexed="25"/>
      </left>
      <right/>
      <top style="thick">
        <color indexed="25"/>
      </top>
      <bottom style="thin">
        <color indexed="23"/>
      </bottom>
      <diagonal/>
    </border>
    <border>
      <left/>
      <right style="thick">
        <color indexed="25"/>
      </right>
      <top style="thick">
        <color indexed="25"/>
      </top>
      <bottom style="thin">
        <color indexed="23"/>
      </bottom>
      <diagonal/>
    </border>
    <border>
      <left/>
      <right/>
      <top style="thick">
        <color indexed="25"/>
      </top>
      <bottom style="thin">
        <color indexed="23"/>
      </bottom>
      <diagonal/>
    </border>
    <border>
      <left style="thick">
        <color indexed="25"/>
      </left>
      <right style="thick">
        <color indexed="25"/>
      </right>
      <top/>
      <bottom style="thin">
        <color indexed="23"/>
      </bottom>
      <diagonal/>
    </border>
    <border>
      <left/>
      <right style="thick">
        <color indexed="25"/>
      </right>
      <top style="thin">
        <color indexed="23"/>
      </top>
      <bottom>
        <color indexed="16"/>
      </bottom>
      <diagonal/>
    </border>
    <border>
      <left style="thick">
        <color indexed="25"/>
      </left>
      <right/>
      <top style="thin">
        <color indexed="23"/>
      </top>
      <bottom>
        <color indexed="16"/>
      </bottom>
      <diagonal/>
    </border>
    <border>
      <left style="thick">
        <color indexed="25"/>
      </left>
      <right style="thick">
        <color indexed="25"/>
      </right>
      <top style="thin">
        <color indexed="23"/>
      </top>
      <bottom>
        <color indexed="16"/>
      </bottom>
      <diagonal/>
    </border>
    <border>
      <left/>
      <right style="thick">
        <color indexed="25"/>
      </right>
      <top>
        <color indexed="16"/>
      </top>
      <bottom/>
      <diagonal/>
    </border>
    <border>
      <left style="thick">
        <color indexed="25"/>
      </left>
      <right/>
      <top>
        <color indexed="16"/>
      </top>
      <bottom/>
      <diagonal/>
    </border>
    <border>
      <left style="thick">
        <color indexed="25"/>
      </left>
      <right style="thick">
        <color indexed="25"/>
      </right>
      <top>
        <color indexed="16"/>
      </top>
      <bottom/>
      <diagonal/>
    </border>
    <border>
      <left/>
      <right style="thick">
        <color indexed="25"/>
      </right>
      <top/>
      <bottom/>
      <diagonal/>
    </border>
    <border>
      <left style="thick">
        <color indexed="25"/>
      </left>
      <right/>
      <top/>
      <bottom/>
      <diagonal/>
    </border>
    <border>
      <left style="thick">
        <color indexed="25"/>
      </left>
      <right style="thick">
        <color indexed="25"/>
      </right>
      <top/>
      <bottom/>
      <diagonal/>
    </border>
    <border>
      <left/>
      <right/>
      <top>
        <color indexed="14"/>
      </top>
      <bottom style="thin">
        <color indexed="15"/>
      </bottom>
      <diagonal/>
    </border>
    <border>
      <left/>
      <right style="thick">
        <color indexed="25"/>
      </right>
      <top>
        <color indexed="14"/>
      </top>
      <bottom style="thin">
        <color indexed="15"/>
      </bottom>
      <diagonal/>
    </border>
    <border>
      <left style="thick">
        <color indexed="25"/>
      </left>
      <right/>
      <top>
        <color indexed="14"/>
      </top>
      <bottom style="thin">
        <color indexed="15"/>
      </bottom>
      <diagonal/>
    </border>
    <border>
      <left style="thick">
        <color indexed="25"/>
      </left>
      <right style="thick">
        <color indexed="25"/>
      </right>
      <top>
        <color indexed="14"/>
      </top>
      <bottom style="thin">
        <color indexed="15"/>
      </bottom>
      <diagonal/>
    </border>
    <border>
      <left/>
      <right/>
      <top style="thin">
        <color indexed="15"/>
      </top>
      <bottom/>
      <diagonal/>
    </border>
    <border>
      <left/>
      <right style="thick">
        <color indexed="25"/>
      </right>
      <top style="thin">
        <color indexed="15"/>
      </top>
      <bottom/>
      <diagonal/>
    </border>
    <border>
      <left style="thick">
        <color indexed="25"/>
      </left>
      <right/>
      <top style="thin">
        <color indexed="15"/>
      </top>
      <bottom/>
      <diagonal/>
    </border>
    <border>
      <left style="thick">
        <color indexed="25"/>
      </left>
      <right/>
      <top style="thin">
        <color indexed="15"/>
      </top>
      <bottom style="thick">
        <color indexed="25"/>
      </bottom>
      <diagonal/>
    </border>
    <border>
      <left/>
      <right style="thick">
        <color indexed="25"/>
      </right>
      <top style="thin">
        <color indexed="15"/>
      </top>
      <bottom style="thick">
        <color indexed="25"/>
      </bottom>
      <diagonal/>
    </border>
    <border>
      <left/>
      <right/>
      <top style="thin">
        <color indexed="15"/>
      </top>
      <bottom style="thick">
        <color indexed="25"/>
      </bottom>
      <diagonal/>
    </border>
    <border>
      <left style="thick">
        <color indexed="25"/>
      </left>
      <right style="thick">
        <color indexed="25"/>
      </right>
      <top style="thin">
        <color indexed="15"/>
      </top>
      <bottom/>
      <diagonal/>
    </border>
    <border>
      <left/>
      <right/>
      <top/>
      <bottom style="thick">
        <color indexed="25"/>
      </bottom>
      <diagonal/>
    </border>
    <border>
      <left/>
      <right style="thick">
        <color indexed="25"/>
      </right>
      <top/>
      <bottom style="thick">
        <color indexed="25"/>
      </bottom>
      <diagonal/>
    </border>
    <border>
      <left style="thick">
        <color indexed="25"/>
      </left>
      <right>
        <color indexed="8"/>
      </right>
      <top style="thick">
        <color indexed="25"/>
      </top>
      <bottom style="thick">
        <color indexed="25"/>
      </bottom>
      <diagonal/>
    </border>
    <border>
      <left>
        <color indexed="8"/>
      </left>
      <right style="thick">
        <color indexed="25"/>
      </right>
      <top style="thick">
        <color indexed="25"/>
      </top>
      <bottom style="thick">
        <color indexed="25"/>
      </bottom>
      <diagonal/>
    </border>
    <border>
      <left style="thick">
        <color indexed="25"/>
      </left>
      <right/>
      <top/>
      <bottom style="thick">
        <color indexed="25"/>
      </bottom>
      <diagonal/>
    </border>
    <border>
      <left/>
      <right style="thin">
        <color indexed="23"/>
      </right>
      <top style="thick">
        <color indexed="25"/>
      </top>
      <bottom/>
      <diagonal/>
    </border>
    <border>
      <left style="thin">
        <color indexed="23"/>
      </left>
      <right style="thin">
        <color indexed="19"/>
      </right>
      <top style="thick">
        <color indexed="25"/>
      </top>
      <bottom/>
      <diagonal/>
    </border>
    <border>
      <left style="thin">
        <color indexed="19"/>
      </left>
      <right/>
      <top style="thick">
        <color indexed="25"/>
      </top>
      <bottom/>
      <diagonal/>
    </border>
    <border>
      <left/>
      <right/>
      <top style="thick">
        <color indexed="25"/>
      </top>
      <bottom/>
      <diagonal/>
    </border>
    <border>
      <left/>
      <right/>
      <top style="thick">
        <color indexed="25"/>
      </top>
      <bottom style="thick">
        <color indexed="25"/>
      </bottom>
      <diagonal/>
    </border>
    <border>
      <left/>
      <right style="thin">
        <color indexed="23"/>
      </right>
      <top/>
      <bottom/>
      <diagonal/>
    </border>
    <border>
      <left style="thin">
        <color indexed="23"/>
      </left>
      <right style="thin">
        <color indexed="19"/>
      </right>
      <top/>
      <bottom/>
      <diagonal/>
    </border>
    <border>
      <left style="thick">
        <color indexed="25"/>
      </left>
      <right/>
      <top style="thick">
        <color indexed="25"/>
      </top>
      <bottom/>
      <diagonal/>
    </border>
    <border>
      <left/>
      <right style="thick">
        <color indexed="25"/>
      </right>
      <top style="thick">
        <color indexed="25"/>
      </top>
      <bottom/>
      <diagonal/>
    </border>
    <border>
      <left/>
      <right style="thin">
        <color indexed="23"/>
      </right>
      <top/>
      <bottom style="thick">
        <color indexed="25"/>
      </bottom>
      <diagonal/>
    </border>
    <border>
      <left style="thin">
        <color indexed="23"/>
      </left>
      <right style="thin">
        <color indexed="19"/>
      </right>
      <top/>
      <bottom style="thick">
        <color indexed="25"/>
      </bottom>
      <diagonal/>
    </border>
    <border>
      <left style="thin">
        <color indexed="19"/>
      </left>
      <right/>
      <top/>
      <bottom style="thick">
        <color indexed="25"/>
      </bottom>
      <diagonal/>
    </border>
    <border>
      <left style="thick">
        <color indexed="25"/>
      </left>
      <right>
        <color indexed="8"/>
      </right>
      <top style="thick">
        <color indexed="25"/>
      </top>
      <bottom>
        <color indexed="8"/>
      </bottom>
      <diagonal/>
    </border>
    <border>
      <left>
        <color indexed="8"/>
      </left>
      <right style="thick">
        <color indexed="25"/>
      </right>
      <top style="thick">
        <color indexed="25"/>
      </top>
      <bottom>
        <color indexed="8"/>
      </bottom>
      <diagonal/>
    </border>
    <border>
      <left style="thick">
        <color indexed="25"/>
      </left>
      <right>
        <color indexed="8"/>
      </right>
      <top>
        <color indexed="8"/>
      </top>
      <bottom>
        <color indexed="8"/>
      </bottom>
      <diagonal/>
    </border>
    <border>
      <left>
        <color indexed="8"/>
      </left>
      <right style="thick">
        <color indexed="25"/>
      </right>
      <top>
        <color indexed="8"/>
      </top>
      <bottom>
        <color indexed="8"/>
      </bottom>
      <diagonal/>
    </border>
    <border>
      <left style="thick">
        <color indexed="25"/>
      </left>
      <right>
        <color indexed="8"/>
      </right>
      <top>
        <color indexed="8"/>
      </top>
      <bottom style="thick">
        <color indexed="25"/>
      </bottom>
      <diagonal/>
    </border>
    <border>
      <left>
        <color indexed="8"/>
      </left>
      <right style="thick">
        <color indexed="25"/>
      </right>
      <top>
        <color indexed="8"/>
      </top>
      <bottom style="thick">
        <color indexed="25"/>
      </bottom>
      <diagonal/>
    </border>
  </borders>
  <cellStyleXfs count="1">
    <xf numFmtId="0" fontId="0" applyNumberFormat="0" applyFont="1" applyFill="0" applyBorder="0" applyAlignment="1" applyProtection="0">
      <alignment vertical="top"/>
    </xf>
  </cellStyleXfs>
  <cellXfs count="202">
    <xf numFmtId="0" fontId="0" applyNumberFormat="0" applyFont="1" applyFill="0" applyBorder="0" applyAlignment="1" applyProtection="0">
      <alignment vertical="top"/>
    </xf>
    <xf numFmtId="0" fontId="0" applyNumberFormat="0" applyFont="1" applyFill="0" applyBorder="0" applyAlignment="1" applyProtection="0">
      <alignment vertical="top" wrapText="1"/>
    </xf>
    <xf numFmtId="0" fontId="1" applyNumberFormat="0" applyFont="1" applyFill="0" applyBorder="0" applyAlignment="0" applyProtection="0"/>
    <xf numFmtId="0" fontId="0" fillId="2" applyNumberFormat="0" applyFont="1" applyFill="1" applyBorder="0" applyAlignment="0" applyProtection="0"/>
    <xf numFmtId="0" fontId="0" fillId="3" applyNumberFormat="0" applyFont="1" applyFill="1" applyBorder="0" applyAlignment="0" applyProtection="0"/>
    <xf numFmtId="0" fontId="2" fillId="3" applyNumberFormat="0" applyFont="1" applyFill="1" applyBorder="0" applyAlignment="0" applyProtection="0"/>
    <xf numFmtId="0" fontId="3" applyNumberFormat="1" applyFont="1" applyFill="0" applyBorder="0" applyAlignment="1" applyProtection="0">
      <alignment vertical="top"/>
    </xf>
    <xf numFmtId="0" fontId="4" applyNumberFormat="0" applyFont="1" applyFill="0" applyBorder="0" applyAlignment="1" applyProtection="0">
      <alignment horizontal="left"/>
    </xf>
    <xf numFmtId="0" fontId="5" fillId="4" borderId="1" applyNumberFormat="1" applyFont="1" applyFill="1" applyBorder="1" applyAlignment="1" applyProtection="0">
      <alignment vertical="top" wrapText="1"/>
    </xf>
    <xf numFmtId="0" fontId="5" fillId="4" borderId="1" applyNumberFormat="0" applyFont="1" applyFill="1" applyBorder="1" applyAlignment="1" applyProtection="0">
      <alignment vertical="top" wrapText="1"/>
    </xf>
    <xf numFmtId="0" fontId="6" fillId="5" borderId="2" applyNumberFormat="1" applyFont="1" applyFill="1" applyBorder="1" applyAlignment="1" applyProtection="0">
      <alignment vertical="top" wrapText="1"/>
    </xf>
    <xf numFmtId="0" fontId="3" fillId="6" borderId="3" applyNumberFormat="1" applyFont="1" applyFill="1" applyBorder="1" applyAlignment="1" applyProtection="0">
      <alignment vertical="top"/>
    </xf>
    <xf numFmtId="0" fontId="3" fillId="6" borderId="4" applyNumberFormat="0" applyFont="1" applyFill="1" applyBorder="1" applyAlignment="1" applyProtection="0">
      <alignment vertical="top"/>
    </xf>
    <xf numFmtId="0" fontId="3" fillId="7" borderId="5" applyNumberFormat="1" applyFont="1" applyFill="1" applyBorder="1" applyAlignment="1" applyProtection="0">
      <alignment vertical="top"/>
    </xf>
    <xf numFmtId="0" fontId="3" fillId="7" borderId="6" applyNumberFormat="0" applyFont="1" applyFill="1" applyBorder="1" applyAlignment="1" applyProtection="0">
      <alignment vertical="top"/>
    </xf>
    <xf numFmtId="0" fontId="6" fillId="5" borderId="2" applyNumberFormat="0" applyFont="1" applyFill="1" applyBorder="1" applyAlignment="1" applyProtection="0">
      <alignment vertical="top" wrapText="1"/>
    </xf>
    <xf numFmtId="0" fontId="3" fillId="6" borderId="5" applyNumberFormat="0" applyFont="1" applyFill="1" applyBorder="1" applyAlignment="1" applyProtection="0">
      <alignment vertical="top"/>
    </xf>
    <xf numFmtId="0" fontId="3" fillId="6" borderId="6" applyNumberFormat="1" applyFont="1" applyFill="1" applyBorder="1" applyAlignment="1" applyProtection="0">
      <alignment vertical="top" wrapText="1"/>
    </xf>
    <xf numFmtId="0" fontId="3" fillId="6" borderId="6" applyNumberFormat="1" applyFont="1" applyFill="1" applyBorder="1" applyAlignment="1" applyProtection="0">
      <alignment vertical="top"/>
    </xf>
    <xf numFmtId="0" fontId="3" fillId="7" borderId="5" applyNumberFormat="0" applyFont="1" applyFill="1" applyBorder="1" applyAlignment="1" applyProtection="0">
      <alignment vertical="top"/>
    </xf>
    <xf numFmtId="0" fontId="3" fillId="7" borderId="6" applyNumberFormat="1" applyFont="1" applyFill="1" applyBorder="1" applyAlignment="1" applyProtection="0">
      <alignment vertical="top"/>
    </xf>
    <xf numFmtId="0" fontId="3" fillId="7" borderId="6" applyNumberFormat="1" applyFont="1" applyFill="1" applyBorder="1" applyAlignment="1" applyProtection="0">
      <alignment vertical="top" wrapText="1"/>
    </xf>
    <xf numFmtId="0" fontId="3" fillId="6" borderId="5" applyNumberFormat="1" applyFont="1" applyFill="1" applyBorder="1" applyAlignment="1" applyProtection="0">
      <alignment vertical="top"/>
    </xf>
    <xf numFmtId="0" fontId="3" fillId="6" borderId="6" applyNumberFormat="0" applyFont="1" applyFill="1" applyBorder="1" applyAlignment="1" applyProtection="0">
      <alignment vertical="top"/>
    </xf>
    <xf numFmtId="0" fontId="5" fillId="4" borderId="2" applyNumberFormat="1" applyFont="1" applyFill="1" applyBorder="1" applyAlignment="1" applyProtection="0">
      <alignment vertical="top" wrapText="1"/>
    </xf>
    <xf numFmtId="0" fontId="3" fillId="4" borderId="5" applyNumberFormat="1" applyFont="1" applyFill="1" applyBorder="1" applyAlignment="1" applyProtection="0">
      <alignment vertical="top"/>
    </xf>
    <xf numFmtId="0" fontId="3" fillId="4" borderId="6" applyNumberFormat="1" applyFont="1" applyFill="1" applyBorder="1" applyAlignment="1" applyProtection="0">
      <alignment vertical="top"/>
    </xf>
    <xf numFmtId="2" fontId="3" fillId="6" borderId="5" applyNumberFormat="1" applyFont="1" applyFill="1" applyBorder="1" applyAlignment="1" applyProtection="0">
      <alignment vertical="top"/>
    </xf>
    <xf numFmtId="0" fontId="5" fillId="8" borderId="7" applyNumberFormat="1" applyFont="1" applyFill="1" applyBorder="1" applyAlignment="1" applyProtection="0">
      <alignment vertical="top" wrapText="1"/>
    </xf>
    <xf numFmtId="0" fontId="5" fillId="8" borderId="7" applyNumberFormat="1" applyFont="1" applyFill="1" applyBorder="1" applyAlignment="1" applyProtection="0">
      <alignment vertical="top"/>
    </xf>
    <xf numFmtId="0" fontId="5" fillId="8" borderId="7" applyNumberFormat="0" applyFont="1" applyFill="1" applyBorder="1" applyAlignment="1" applyProtection="0">
      <alignment vertical="top" wrapText="1"/>
    </xf>
    <xf numFmtId="0" fontId="3" applyNumberFormat="1" applyFont="1" applyFill="0" applyBorder="0" applyAlignment="1" applyProtection="0">
      <alignment vertical="top" wrapText="1"/>
    </xf>
    <xf numFmtId="0" fontId="5" fillId="4" borderId="8" applyNumberFormat="1" applyFont="1" applyFill="1" applyBorder="1" applyAlignment="1" applyProtection="0">
      <alignment horizontal="center" vertical="top" wrapText="1"/>
    </xf>
    <xf numFmtId="0" fontId="5" fillId="4" borderId="8" applyNumberFormat="1" applyFont="1" applyFill="1" applyBorder="1" applyAlignment="1" applyProtection="0">
      <alignment horizontal="right" vertical="top" wrapText="1"/>
    </xf>
    <xf numFmtId="0" fontId="5" fillId="4" borderId="8" applyNumberFormat="0" applyFont="1" applyFill="1" applyBorder="1" applyAlignment="1" applyProtection="0">
      <alignment horizontal="left" vertical="top" wrapText="1"/>
    </xf>
    <xf numFmtId="0" fontId="5" fillId="4" borderId="9" applyNumberFormat="1" applyFont="1" applyFill="1" applyBorder="1" applyAlignment="1" applyProtection="0">
      <alignment horizontal="center" vertical="top" wrapText="1"/>
    </xf>
    <xf numFmtId="0" fontId="5" fillId="4" borderId="9" applyNumberFormat="1" applyFont="1" applyFill="1" applyBorder="1" applyAlignment="1" applyProtection="0">
      <alignment horizontal="right" vertical="top" wrapText="1"/>
    </xf>
    <xf numFmtId="0" fontId="5" fillId="4" borderId="9" applyNumberFormat="1" applyFont="1" applyFill="1" applyBorder="1" applyAlignment="1" applyProtection="0">
      <alignment horizontal="left" vertical="top" wrapText="1"/>
    </xf>
    <xf numFmtId="0" fontId="6" fillId="5" borderId="2" applyNumberFormat="1" applyFont="1" applyFill="1" applyBorder="1" applyAlignment="1" applyProtection="0">
      <alignment horizontal="center" vertical="top" wrapText="1"/>
    </xf>
    <xf numFmtId="2" fontId="3" fillId="5" borderId="3" applyNumberFormat="1" applyFont="1" applyFill="1" applyBorder="1" applyAlignment="1" applyProtection="0">
      <alignment horizontal="right" vertical="top" wrapText="1"/>
    </xf>
    <xf numFmtId="0" fontId="3" fillId="5" borderId="4" applyNumberFormat="1" applyFont="1" applyFill="1" applyBorder="1" applyAlignment="1" applyProtection="0">
      <alignment horizontal="left" vertical="top" wrapText="1"/>
    </xf>
    <xf numFmtId="2" fontId="3" fillId="5" borderId="4" applyNumberFormat="1" applyFont="1" applyFill="1" applyBorder="1" applyAlignment="1" applyProtection="0">
      <alignment horizontal="right" vertical="top" wrapText="1"/>
    </xf>
    <xf numFmtId="2" fontId="3" fillId="9" borderId="5" applyNumberFormat="1" applyFont="1" applyFill="1" applyBorder="1" applyAlignment="1" applyProtection="0">
      <alignment horizontal="right" vertical="top" wrapText="1"/>
    </xf>
    <xf numFmtId="0" fontId="3" fillId="9" borderId="6" applyNumberFormat="1" applyFont="1" applyFill="1" applyBorder="1" applyAlignment="1" applyProtection="0">
      <alignment horizontal="left" vertical="top" wrapText="1"/>
    </xf>
    <xf numFmtId="2" fontId="3" fillId="9" borderId="6" applyNumberFormat="1" applyFont="1" applyFill="1" applyBorder="1" applyAlignment="1" applyProtection="0">
      <alignment horizontal="right" vertical="top" wrapText="1"/>
    </xf>
    <xf numFmtId="2" fontId="3" fillId="5" borderId="5" applyNumberFormat="1" applyFont="1" applyFill="1" applyBorder="1" applyAlignment="1" applyProtection="0">
      <alignment horizontal="right" vertical="top" wrapText="1"/>
    </xf>
    <xf numFmtId="0" fontId="3" fillId="5" borderId="6" applyNumberFormat="1" applyFont="1" applyFill="1" applyBorder="1" applyAlignment="1" applyProtection="0">
      <alignment horizontal="left" vertical="top" wrapText="1"/>
    </xf>
    <xf numFmtId="2" fontId="3" fillId="5" borderId="6" applyNumberFormat="1" applyFont="1" applyFill="1" applyBorder="1" applyAlignment="1" applyProtection="0">
      <alignment horizontal="right" vertical="top" wrapText="1"/>
    </xf>
    <xf numFmtId="4" fontId="3" fillId="9" borderId="6" applyNumberFormat="1" applyFont="1" applyFill="1" applyBorder="1" applyAlignment="1" applyProtection="0">
      <alignment horizontal="right" vertical="top" wrapText="1"/>
    </xf>
    <xf numFmtId="4" fontId="3" fillId="5" borderId="6" applyNumberFormat="1" applyFont="1" applyFill="1" applyBorder="1" applyAlignment="1" applyProtection="0">
      <alignment horizontal="right" vertical="top" wrapText="1"/>
    </xf>
    <xf numFmtId="0" fontId="5" fillId="8" borderId="7" applyNumberFormat="1" applyFont="1" applyFill="1" applyBorder="1" applyAlignment="1" applyProtection="0">
      <alignment horizontal="center" vertical="top" wrapText="1"/>
    </xf>
    <xf numFmtId="2" fontId="5" fillId="8" borderId="7" applyNumberFormat="1" applyFont="1" applyFill="1" applyBorder="1" applyAlignment="1" applyProtection="0">
      <alignment horizontal="right" vertical="top" wrapText="1"/>
    </xf>
    <xf numFmtId="0" fontId="5" fillId="8" borderId="7" applyNumberFormat="1" applyFont="1" applyFill="1" applyBorder="1" applyAlignment="1" applyProtection="0">
      <alignment horizontal="left" vertical="top" wrapText="1"/>
    </xf>
    <xf numFmtId="0" fontId="5" fillId="8" borderId="7" applyNumberFormat="1" applyFont="1" applyFill="1" applyBorder="1" applyAlignment="1" applyProtection="0">
      <alignment horizontal="right" vertical="top" wrapText="1"/>
    </xf>
    <xf numFmtId="0" fontId="3" applyNumberFormat="1" applyFont="1" applyFill="0" applyBorder="0" applyAlignment="1" applyProtection="0">
      <alignment vertical="top" wrapText="1"/>
    </xf>
    <xf numFmtId="0" fontId="3" applyNumberFormat="1" applyFont="1" applyFill="0" applyBorder="0" applyAlignment="1" applyProtection="0">
      <alignment vertical="top"/>
    </xf>
    <xf numFmtId="0" fontId="5" fillId="4" borderId="8" applyNumberFormat="1" applyFont="1" applyFill="1" applyBorder="1" applyAlignment="1" applyProtection="0">
      <alignment vertical="top" wrapText="1"/>
    </xf>
    <xf numFmtId="0" fontId="5" fillId="4" borderId="10" applyNumberFormat="1" applyFont="1" applyFill="1" applyBorder="1" applyAlignment="1" applyProtection="0">
      <alignment vertical="top" wrapText="1"/>
    </xf>
    <xf numFmtId="0" fontId="5" fillId="4" borderId="11" applyNumberFormat="1" applyFont="1" applyFill="1" applyBorder="1" applyAlignment="1" applyProtection="0">
      <alignment vertical="top" wrapText="1"/>
    </xf>
    <xf numFmtId="0" fontId="5" fillId="4" borderId="12" applyNumberFormat="1" applyFont="1" applyFill="1" applyBorder="1" applyAlignment="1" applyProtection="0">
      <alignment horizontal="right" vertical="top" wrapText="1"/>
    </xf>
    <xf numFmtId="0" fontId="5" fillId="4" borderId="13" applyNumberFormat="1" applyFont="1" applyFill="1" applyBorder="1" applyAlignment="1" applyProtection="0">
      <alignment vertical="top" wrapText="1"/>
    </xf>
    <xf numFmtId="0" fontId="5" fillId="4" borderId="12" applyNumberFormat="1" applyFont="1" applyFill="1" applyBorder="1" applyAlignment="1" applyProtection="0">
      <alignment vertical="top" wrapText="1"/>
    </xf>
    <xf numFmtId="0" fontId="5" fillId="4" borderId="14" applyNumberFormat="1" applyFont="1" applyFill="1" applyBorder="1" applyAlignment="1" applyProtection="0">
      <alignment vertical="top" wrapText="1"/>
    </xf>
    <xf numFmtId="0" fontId="5" fillId="4" borderId="15" applyNumberFormat="1" applyFont="1" applyFill="1" applyBorder="1" applyAlignment="1" applyProtection="0">
      <alignment vertical="top" wrapText="1"/>
    </xf>
    <xf numFmtId="0" fontId="5" fillId="4" borderId="13" applyNumberFormat="1" applyFont="1" applyFill="1" applyBorder="1" applyAlignment="1" applyProtection="0">
      <alignment horizontal="left" vertical="top" wrapText="1"/>
    </xf>
    <xf numFmtId="0" fontId="5" fillId="4" borderId="9" applyNumberFormat="1" applyFont="1" applyFill="1" applyBorder="1" applyAlignment="1" applyProtection="0">
      <alignment vertical="top" wrapText="1"/>
    </xf>
    <xf numFmtId="0" fontId="5" fillId="4" borderId="9" applyNumberFormat="0" applyFont="1" applyFill="1" applyBorder="1" applyAlignment="1" applyProtection="0">
      <alignment horizontal="center" vertical="top" wrapText="1"/>
    </xf>
    <xf numFmtId="9" fontId="5" fillId="4" borderId="9" applyNumberFormat="1" applyFont="1" applyFill="1" applyBorder="1" applyAlignment="1" applyProtection="0">
      <alignment horizontal="center" vertical="top" wrapText="1"/>
    </xf>
    <xf numFmtId="0" fontId="5" fillId="4" borderId="16" applyNumberFormat="1" applyFont="1" applyFill="1" applyBorder="1" applyAlignment="1" applyProtection="0">
      <alignment horizontal="center" vertical="top" wrapText="1"/>
    </xf>
    <xf numFmtId="0" fontId="5" fillId="4" borderId="17" applyNumberFormat="0" applyFont="1" applyFill="1" applyBorder="1" applyAlignment="1" applyProtection="0">
      <alignment horizontal="center" vertical="top" wrapText="1"/>
    </xf>
    <xf numFmtId="0" fontId="5" fillId="4" borderId="17" applyNumberFormat="1" applyFont="1" applyFill="1" applyBorder="1" applyAlignment="1" applyProtection="0">
      <alignment horizontal="right" vertical="top" wrapText="1"/>
    </xf>
    <xf numFmtId="0" fontId="5" fillId="4" borderId="16" applyNumberFormat="1" applyFont="1" applyFill="1" applyBorder="1" applyAlignment="1" applyProtection="0">
      <alignment horizontal="left" vertical="top" wrapText="1"/>
    </xf>
    <xf numFmtId="0" fontId="5" fillId="4" borderId="17" applyNumberFormat="1" applyFont="1" applyFill="1" applyBorder="1" applyAlignment="1" applyProtection="0">
      <alignment horizontal="center" vertical="top" wrapText="1"/>
    </xf>
    <xf numFmtId="0" fontId="5" fillId="4" borderId="18" applyNumberFormat="1" applyFont="1" applyFill="1" applyBorder="1" applyAlignment="1" applyProtection="0">
      <alignment horizontal="center" vertical="top" wrapText="1"/>
    </xf>
    <xf numFmtId="59" fontId="3" fillId="6" borderId="4" applyNumberFormat="1" applyFont="1" applyFill="1" applyBorder="1" applyAlignment="1" applyProtection="0">
      <alignment vertical="top"/>
    </xf>
    <xf numFmtId="0" fontId="3" fillId="6" borderId="4" applyNumberFormat="1" applyFont="1" applyFill="1" applyBorder="1" applyAlignment="1" applyProtection="0">
      <alignment vertical="top"/>
    </xf>
    <xf numFmtId="0" fontId="3" fillId="6" borderId="4" applyNumberFormat="1" applyFont="1" applyFill="1" applyBorder="1" applyAlignment="1" applyProtection="0">
      <alignment horizontal="center" vertical="top"/>
    </xf>
    <xf numFmtId="2" fontId="3" fillId="6" borderId="4" applyNumberFormat="1" applyFont="1" applyFill="1" applyBorder="1" applyAlignment="1" applyProtection="0">
      <alignment horizontal="center" vertical="top"/>
    </xf>
    <xf numFmtId="0" fontId="3" fillId="6" borderId="19" applyNumberFormat="1" applyFont="1" applyFill="1" applyBorder="1" applyAlignment="1" applyProtection="0">
      <alignment vertical="top"/>
    </xf>
    <xf numFmtId="0" fontId="3" fillId="6" borderId="20" applyNumberFormat="1" applyFont="1" applyFill="1" applyBorder="1" applyAlignment="1" applyProtection="0">
      <alignment horizontal="center" vertical="top"/>
    </xf>
    <xf numFmtId="0" fontId="3" fillId="6" borderId="19" applyNumberFormat="1" applyFont="1" applyFill="1" applyBorder="1" applyAlignment="1" applyProtection="0">
      <alignment horizontal="center" vertical="top"/>
    </xf>
    <xf numFmtId="2" fontId="3" fillId="6" borderId="20" applyNumberFormat="1" applyFont="1" applyFill="1" applyBorder="1" applyAlignment="1" applyProtection="0">
      <alignment horizontal="right" vertical="top"/>
    </xf>
    <xf numFmtId="0" fontId="3" fillId="6" borderId="19" applyNumberFormat="1" applyFont="1" applyFill="1" applyBorder="1" applyAlignment="1" applyProtection="0">
      <alignment horizontal="left" vertical="top"/>
    </xf>
    <xf numFmtId="2" fontId="3" fillId="6" borderId="19" applyNumberFormat="1" applyFont="1" applyFill="1" applyBorder="1" applyAlignment="1" applyProtection="0">
      <alignment horizontal="center" vertical="top"/>
    </xf>
    <xf numFmtId="4" fontId="3" fillId="6" borderId="20" applyNumberFormat="1" applyFont="1" applyFill="1" applyBorder="1" applyAlignment="1" applyProtection="0">
      <alignment horizontal="center" vertical="top"/>
    </xf>
    <xf numFmtId="4" fontId="3" fillId="6" borderId="4" applyNumberFormat="1" applyFont="1" applyFill="1" applyBorder="1" applyAlignment="1" applyProtection="0">
      <alignment horizontal="center" vertical="top"/>
    </xf>
    <xf numFmtId="4" fontId="3" fillId="6" borderId="19" applyNumberFormat="1" applyFont="1" applyFill="1" applyBorder="1" applyAlignment="1" applyProtection="0">
      <alignment horizontal="center" vertical="top"/>
    </xf>
    <xf numFmtId="0" fontId="3" fillId="6" borderId="21" applyNumberFormat="1" applyFont="1" applyFill="1" applyBorder="1" applyAlignment="1" applyProtection="0">
      <alignment horizontal="center" vertical="top"/>
    </xf>
    <xf numFmtId="0" fontId="3" fillId="6" borderId="20" applyNumberFormat="1" applyFont="1" applyFill="1" applyBorder="1" applyAlignment="1" applyProtection="0">
      <alignment horizontal="right" vertical="top"/>
    </xf>
    <xf numFmtId="59" fontId="3" fillId="7" borderId="6" applyNumberFormat="1" applyFont="1" applyFill="1" applyBorder="1" applyAlignment="1" applyProtection="0">
      <alignment vertical="top"/>
    </xf>
    <xf numFmtId="0" fontId="3" fillId="7" borderId="6" applyNumberFormat="1" applyFont="1" applyFill="1" applyBorder="1" applyAlignment="1" applyProtection="0">
      <alignment horizontal="center" vertical="top"/>
    </xf>
    <xf numFmtId="2" fontId="3" fillId="7" borderId="6" applyNumberFormat="1" applyFont="1" applyFill="1" applyBorder="1" applyAlignment="1" applyProtection="0">
      <alignment horizontal="center" vertical="top"/>
    </xf>
    <xf numFmtId="0" fontId="3" fillId="7" borderId="22" applyNumberFormat="1" applyFont="1" applyFill="1" applyBorder="1" applyAlignment="1" applyProtection="0">
      <alignment vertical="top"/>
    </xf>
    <xf numFmtId="0" fontId="3" fillId="7" borderId="23" applyNumberFormat="1" applyFont="1" applyFill="1" applyBorder="1" applyAlignment="1" applyProtection="0">
      <alignment horizontal="center" vertical="top"/>
    </xf>
    <xf numFmtId="0" fontId="3" fillId="7" borderId="22" applyNumberFormat="1" applyFont="1" applyFill="1" applyBorder="1" applyAlignment="1" applyProtection="0">
      <alignment horizontal="center" vertical="top"/>
    </xf>
    <xf numFmtId="2" fontId="3" fillId="7" borderId="23" applyNumberFormat="1" applyFont="1" applyFill="1" applyBorder="1" applyAlignment="1" applyProtection="0">
      <alignment horizontal="right" vertical="top"/>
    </xf>
    <xf numFmtId="0" fontId="3" fillId="7" borderId="22" applyNumberFormat="1" applyFont="1" applyFill="1" applyBorder="1" applyAlignment="1" applyProtection="0">
      <alignment horizontal="left" vertical="top"/>
    </xf>
    <xf numFmtId="2" fontId="3" fillId="7" borderId="23" applyNumberFormat="1" applyFont="1" applyFill="1" applyBorder="1" applyAlignment="1" applyProtection="0">
      <alignment horizontal="center" vertical="top"/>
    </xf>
    <xf numFmtId="2" fontId="3" fillId="7" borderId="22" applyNumberFormat="1" applyFont="1" applyFill="1" applyBorder="1" applyAlignment="1" applyProtection="0">
      <alignment horizontal="center" vertical="top"/>
    </xf>
    <xf numFmtId="4" fontId="3" fillId="7" borderId="23" applyNumberFormat="1" applyFont="1" applyFill="1" applyBorder="1" applyAlignment="1" applyProtection="0">
      <alignment horizontal="center" vertical="top"/>
    </xf>
    <xf numFmtId="4" fontId="3" fillId="7" borderId="6" applyNumberFormat="1" applyFont="1" applyFill="1" applyBorder="1" applyAlignment="1" applyProtection="0">
      <alignment horizontal="center" vertical="top"/>
    </xf>
    <xf numFmtId="4" fontId="3" fillId="7" borderId="22" applyNumberFormat="1" applyFont="1" applyFill="1" applyBorder="1" applyAlignment="1" applyProtection="0">
      <alignment horizontal="center" vertical="top"/>
    </xf>
    <xf numFmtId="0" fontId="3" fillId="7" borderId="24" applyNumberFormat="1" applyFont="1" applyFill="1" applyBorder="1" applyAlignment="1" applyProtection="0">
      <alignment horizontal="center" vertical="top"/>
    </xf>
    <xf numFmtId="0" fontId="3" fillId="7" borderId="23" applyNumberFormat="1" applyFont="1" applyFill="1" applyBorder="1" applyAlignment="1" applyProtection="0">
      <alignment horizontal="right" vertical="top"/>
    </xf>
    <xf numFmtId="59" fontId="3" fillId="6" borderId="6" applyNumberFormat="1" applyFont="1" applyFill="1" applyBorder="1" applyAlignment="1" applyProtection="0">
      <alignment vertical="top"/>
    </xf>
    <xf numFmtId="0" fontId="3" fillId="6" borderId="6" applyNumberFormat="1" applyFont="1" applyFill="1" applyBorder="1" applyAlignment="1" applyProtection="0">
      <alignment horizontal="center" vertical="top"/>
    </xf>
    <xf numFmtId="2" fontId="3" fillId="6" borderId="6" applyNumberFormat="1" applyFont="1" applyFill="1" applyBorder="1" applyAlignment="1" applyProtection="0">
      <alignment horizontal="center" vertical="top"/>
    </xf>
    <xf numFmtId="0" fontId="3" fillId="6" borderId="22" applyNumberFormat="1" applyFont="1" applyFill="1" applyBorder="1" applyAlignment="1" applyProtection="0">
      <alignment vertical="top"/>
    </xf>
    <xf numFmtId="0" fontId="3" fillId="6" borderId="23" applyNumberFormat="1" applyFont="1" applyFill="1" applyBorder="1" applyAlignment="1" applyProtection="0">
      <alignment horizontal="center" vertical="top"/>
    </xf>
    <xf numFmtId="0" fontId="3" fillId="6" borderId="22" applyNumberFormat="1" applyFont="1" applyFill="1" applyBorder="1" applyAlignment="1" applyProtection="0">
      <alignment horizontal="center" vertical="top"/>
    </xf>
    <xf numFmtId="2" fontId="3" fillId="6" borderId="23" applyNumberFormat="1" applyFont="1" applyFill="1" applyBorder="1" applyAlignment="1" applyProtection="0">
      <alignment horizontal="right" vertical="top"/>
    </xf>
    <xf numFmtId="0" fontId="3" fillId="6" borderId="22" applyNumberFormat="1" applyFont="1" applyFill="1" applyBorder="1" applyAlignment="1" applyProtection="0">
      <alignment horizontal="left" vertical="top"/>
    </xf>
    <xf numFmtId="2" fontId="3" fillId="6" borderId="23" applyNumberFormat="1" applyFont="1" applyFill="1" applyBorder="1" applyAlignment="1" applyProtection="0">
      <alignment horizontal="center" vertical="top"/>
    </xf>
    <xf numFmtId="2" fontId="3" fillId="6" borderId="22" applyNumberFormat="1" applyFont="1" applyFill="1" applyBorder="1" applyAlignment="1" applyProtection="0">
      <alignment horizontal="center" vertical="top"/>
    </xf>
    <xf numFmtId="4" fontId="3" fillId="6" borderId="23" applyNumberFormat="1" applyFont="1" applyFill="1" applyBorder="1" applyAlignment="1" applyProtection="0">
      <alignment horizontal="center" vertical="top"/>
    </xf>
    <xf numFmtId="4" fontId="3" fillId="6" borderId="6" applyNumberFormat="1" applyFont="1" applyFill="1" applyBorder="1" applyAlignment="1" applyProtection="0">
      <alignment horizontal="center" vertical="top"/>
    </xf>
    <xf numFmtId="4" fontId="3" fillId="6" borderId="22" applyNumberFormat="1" applyFont="1" applyFill="1" applyBorder="1" applyAlignment="1" applyProtection="0">
      <alignment horizontal="center" vertical="top"/>
    </xf>
    <xf numFmtId="0" fontId="3" fillId="6" borderId="24" applyNumberFormat="1" applyFont="1" applyFill="1" applyBorder="1" applyAlignment="1" applyProtection="0">
      <alignment horizontal="center" vertical="top"/>
    </xf>
    <xf numFmtId="0" fontId="3" fillId="6" borderId="23" applyNumberFormat="1" applyFont="1" applyFill="1" applyBorder="1" applyAlignment="1" applyProtection="0">
      <alignment horizontal="right" vertical="top"/>
    </xf>
    <xf numFmtId="59" fontId="5" fillId="8" borderId="25" applyNumberFormat="1" applyFont="1" applyFill="1" applyBorder="1" applyAlignment="1" applyProtection="0">
      <alignment vertical="top" wrapText="1"/>
    </xf>
    <xf numFmtId="0" fontId="5" fillId="8" borderId="25" applyNumberFormat="1" applyFont="1" applyFill="1" applyBorder="1" applyAlignment="1" applyProtection="0">
      <alignment vertical="top" wrapText="1"/>
    </xf>
    <xf numFmtId="0" fontId="5" fillId="8" borderId="25" applyNumberFormat="1" applyFont="1" applyFill="1" applyBorder="1" applyAlignment="1" applyProtection="0">
      <alignment horizontal="center" vertical="top" wrapText="1"/>
    </xf>
    <xf numFmtId="2" fontId="5" fillId="8" borderId="25" applyNumberFormat="1" applyFont="1" applyFill="1" applyBorder="1" applyAlignment="1" applyProtection="0">
      <alignment horizontal="center" vertical="top" wrapText="1"/>
    </xf>
    <xf numFmtId="0" fontId="5" fillId="8" borderId="25" applyNumberFormat="0" applyFont="1" applyFill="1" applyBorder="1" applyAlignment="1" applyProtection="0">
      <alignment vertical="top" wrapText="1"/>
    </xf>
    <xf numFmtId="4" fontId="5" fillId="8" borderId="25" applyNumberFormat="1" applyFont="1" applyFill="1" applyBorder="1" applyAlignment="1" applyProtection="0">
      <alignment vertical="top" wrapText="1"/>
    </xf>
    <xf numFmtId="0" fontId="5" fillId="8" borderId="26" applyNumberFormat="0" applyFont="1" applyFill="1" applyBorder="1" applyAlignment="1" applyProtection="0">
      <alignment horizontal="center" vertical="top" wrapText="1"/>
    </xf>
    <xf numFmtId="0" fontId="5" fillId="8" borderId="27" applyNumberFormat="1" applyFont="1" applyFill="1" applyBorder="1" applyAlignment="1" applyProtection="0">
      <alignment horizontal="center" vertical="top" wrapText="1"/>
    </xf>
    <xf numFmtId="0" fontId="5" fillId="8" borderId="26" applyNumberFormat="1" applyFont="1" applyFill="1" applyBorder="1" applyAlignment="1" applyProtection="0">
      <alignment horizontal="center" vertical="top" wrapText="1"/>
    </xf>
    <xf numFmtId="0" fontId="5" fillId="8" borderId="27" applyNumberFormat="1" applyFont="1" applyFill="1" applyBorder="1" applyAlignment="1" applyProtection="0">
      <alignment horizontal="right" vertical="top" wrapText="1"/>
    </xf>
    <xf numFmtId="0" fontId="5" fillId="8" borderId="26" applyNumberFormat="1" applyFont="1" applyFill="1" applyBorder="1" applyAlignment="1" applyProtection="0">
      <alignment vertical="top" wrapText="1"/>
    </xf>
    <xf numFmtId="0" fontId="5" fillId="8" borderId="27" applyNumberFormat="1" applyFont="1" applyFill="1" applyBorder="1" applyAlignment="1" applyProtection="0">
      <alignment vertical="top" wrapText="1"/>
    </xf>
    <xf numFmtId="0" fontId="5" fillId="8" borderId="28" applyNumberFormat="1" applyFont="1" applyFill="1" applyBorder="1" applyAlignment="1" applyProtection="0">
      <alignment horizontal="center" vertical="top" wrapText="1"/>
    </xf>
    <xf numFmtId="0" fontId="5" fillId="8" borderId="26" applyNumberFormat="1" applyFont="1" applyFill="1" applyBorder="1" applyAlignment="1" applyProtection="0">
      <alignment horizontal="left" vertical="top" wrapText="1"/>
    </xf>
    <xf numFmtId="59" fontId="5" fillId="8" borderId="29" applyNumberFormat="1" applyFont="1" applyFill="1" applyBorder="1" applyAlignment="1" applyProtection="0">
      <alignment vertical="top" wrapText="1"/>
    </xf>
    <xf numFmtId="0" fontId="5" fillId="8" borderId="29" applyNumberFormat="1" applyFont="1" applyFill="1" applyBorder="1" applyAlignment="1" applyProtection="0">
      <alignment vertical="top" wrapText="1"/>
    </xf>
    <xf numFmtId="10" fontId="5" fillId="8" borderId="29" applyNumberFormat="1" applyFont="1" applyFill="1" applyBorder="1" applyAlignment="1" applyProtection="0">
      <alignment horizontal="center" vertical="top" wrapText="1"/>
    </xf>
    <xf numFmtId="60" fontId="5" fillId="8" borderId="29" applyNumberFormat="1" applyFont="1" applyFill="1" applyBorder="1" applyAlignment="1" applyProtection="0">
      <alignment horizontal="center" vertical="top" wrapText="1"/>
    </xf>
    <xf numFmtId="0" fontId="5" fillId="8" borderId="29" applyNumberFormat="0" applyFont="1" applyFill="1" applyBorder="1" applyAlignment="1" applyProtection="0">
      <alignment vertical="top" wrapText="1"/>
    </xf>
    <xf numFmtId="4" fontId="5" fillId="8" borderId="29" applyNumberFormat="1" applyFont="1" applyFill="1" applyBorder="1" applyAlignment="1" applyProtection="0">
      <alignment vertical="top" wrapText="1"/>
    </xf>
    <xf numFmtId="0" fontId="5" fillId="8" borderId="30" applyNumberFormat="1" applyFont="1" applyFill="1" applyBorder="1" applyAlignment="1" applyProtection="0">
      <alignment vertical="top" wrapText="1"/>
    </xf>
    <xf numFmtId="0" fontId="5" fillId="8" borderId="31" applyNumberFormat="0" applyFont="1" applyFill="1" applyBorder="1" applyAlignment="1" applyProtection="0">
      <alignment horizontal="center" vertical="top" wrapText="1"/>
    </xf>
    <xf numFmtId="0" fontId="5" fillId="8" borderId="30" applyNumberFormat="0" applyFont="1" applyFill="1" applyBorder="1" applyAlignment="1" applyProtection="0">
      <alignment horizontal="center" vertical="top" wrapText="1"/>
    </xf>
    <xf numFmtId="2" fontId="5" fillId="8" borderId="32" applyNumberFormat="1" applyFont="1" applyFill="1" applyBorder="1" applyAlignment="1" applyProtection="0">
      <alignment horizontal="right" vertical="top" wrapText="1"/>
    </xf>
    <xf numFmtId="0" fontId="5" fillId="8" borderId="33" applyNumberFormat="1" applyFont="1" applyFill="1" applyBorder="1" applyAlignment="1" applyProtection="0">
      <alignment horizontal="left" vertical="top" wrapText="1"/>
    </xf>
    <xf numFmtId="10" fontId="5" fillId="8" borderId="32" applyNumberFormat="1" applyFont="1" applyFill="1" applyBorder="1" applyAlignment="1" applyProtection="0">
      <alignment horizontal="center" vertical="top" wrapText="1"/>
    </xf>
    <xf numFmtId="10" fontId="5" fillId="8" borderId="34" applyNumberFormat="1" applyFont="1" applyFill="1" applyBorder="1" applyAlignment="1" applyProtection="0">
      <alignment horizontal="center" vertical="top" wrapText="1"/>
    </xf>
    <xf numFmtId="10" fontId="5" fillId="8" borderId="33" applyNumberFormat="1" applyFont="1" applyFill="1" applyBorder="1" applyAlignment="1" applyProtection="0">
      <alignment horizontal="center" vertical="top" wrapText="1"/>
    </xf>
    <xf numFmtId="0" fontId="5" fillId="8" borderId="35" applyNumberFormat="0" applyFont="1" applyFill="1" applyBorder="1" applyAlignment="1" applyProtection="0">
      <alignment horizontal="center" vertical="top" wrapText="1"/>
    </xf>
    <xf numFmtId="0" fontId="3" applyNumberFormat="1" applyFont="1" applyFill="0" applyBorder="0" applyAlignment="1" applyProtection="0">
      <alignment vertical="top"/>
    </xf>
    <xf numFmtId="0" fontId="5" fillId="4" borderId="36" applyNumberFormat="1" applyFont="1" applyFill="1" applyBorder="1" applyAlignment="1" applyProtection="0">
      <alignment vertical="top" wrapText="1"/>
    </xf>
    <xf numFmtId="0" fontId="5" fillId="4" borderId="37" applyNumberFormat="1" applyFont="1" applyFill="1" applyBorder="1" applyAlignment="1" applyProtection="0">
      <alignment vertical="top" wrapText="1"/>
    </xf>
    <xf numFmtId="0" fontId="5" fillId="4" borderId="38" applyNumberFormat="1" applyFont="1" applyFill="1" applyBorder="1" applyAlignment="1" applyProtection="0">
      <alignment vertical="top" wrapText="1"/>
    </xf>
    <xf numFmtId="0" fontId="5" fillId="4" borderId="39" applyNumberFormat="1" applyFont="1" applyFill="1" applyBorder="1" applyAlignment="1" applyProtection="0">
      <alignment vertical="top" wrapText="1"/>
    </xf>
    <xf numFmtId="0" fontId="5" fillId="4" borderId="40" applyNumberFormat="1" applyFont="1" applyFill="1" applyBorder="1" applyAlignment="1" applyProtection="0">
      <alignment vertical="top" wrapText="1"/>
    </xf>
    <xf numFmtId="0" fontId="6" fillId="10" borderId="41" applyNumberFormat="0" applyFont="1" applyFill="1" applyBorder="1" applyAlignment="1" applyProtection="0">
      <alignment vertical="top" wrapText="1"/>
    </xf>
    <xf numFmtId="0" fontId="7" fillId="10" borderId="42" applyNumberFormat="1" applyFont="1" applyFill="1" applyBorder="1" applyAlignment="1" applyProtection="0">
      <alignment vertical="top" wrapText="1"/>
    </xf>
    <xf numFmtId="0" fontId="3" fillId="10" borderId="43" applyNumberFormat="0" applyFont="1" applyFill="1" applyBorder="1" applyAlignment="1" applyProtection="0">
      <alignment vertical="top"/>
    </xf>
    <xf numFmtId="0" fontId="3" fillId="10" borderId="44" applyNumberFormat="0" applyFont="1" applyFill="1" applyBorder="1" applyAlignment="1" applyProtection="0">
      <alignment vertical="top"/>
    </xf>
    <xf numFmtId="2" fontId="3" fillId="10" borderId="44" applyNumberFormat="1" applyFont="1" applyFill="1" applyBorder="1" applyAlignment="1" applyProtection="0">
      <alignment vertical="top"/>
    </xf>
    <xf numFmtId="2" fontId="3" fillId="10" borderId="45" applyNumberFormat="1" applyFont="1" applyFill="1" applyBorder="1" applyAlignment="1" applyProtection="0">
      <alignment vertical="top"/>
    </xf>
    <xf numFmtId="0" fontId="3" fillId="10" borderId="45" applyNumberFormat="0" applyFont="1" applyFill="1" applyBorder="1" applyAlignment="1" applyProtection="0">
      <alignment vertical="top"/>
    </xf>
    <xf numFmtId="0" fontId="6" fillId="5" borderId="46" applyNumberFormat="1" applyFont="1" applyFill="1" applyBorder="1" applyAlignment="1" applyProtection="0">
      <alignment vertical="top" wrapText="1"/>
    </xf>
    <xf numFmtId="0" fontId="6" fillId="5" borderId="47" applyNumberFormat="1" applyFont="1" applyFill="1" applyBorder="1" applyAlignment="1" applyProtection="0">
      <alignment vertical="top" wrapText="1"/>
    </xf>
    <xf numFmtId="2" fontId="3" fillId="7" borderId="6" applyNumberFormat="1" applyFont="1" applyFill="1" applyBorder="1" applyAlignment="1" applyProtection="0">
      <alignment vertical="top"/>
    </xf>
    <xf numFmtId="2" fontId="3" fillId="7" borderId="48" applyNumberFormat="1" applyFont="1" applyFill="1" applyBorder="1" applyAlignment="1" applyProtection="0">
      <alignment vertical="top"/>
    </xf>
    <xf numFmtId="0" fontId="3" fillId="7" borderId="49" applyNumberFormat="1" applyFont="1" applyFill="1" applyBorder="1" applyAlignment="1" applyProtection="0">
      <alignment vertical="top"/>
    </xf>
    <xf numFmtId="0" fontId="3" fillId="7" borderId="23" applyNumberFormat="1" applyFont="1" applyFill="1" applyBorder="1" applyAlignment="1" applyProtection="0">
      <alignment vertical="top"/>
    </xf>
    <xf numFmtId="2" fontId="3" fillId="7" borderId="23" applyNumberFormat="1" applyFont="1" applyFill="1" applyBorder="1" applyAlignment="1" applyProtection="0">
      <alignment vertical="top"/>
    </xf>
    <xf numFmtId="0" fontId="3" fillId="6" borderId="6" applyNumberFormat="1" applyFont="1" applyFill="1" applyBorder="1" applyAlignment="1" applyProtection="0">
      <alignment horizontal="right" vertical="top"/>
    </xf>
    <xf numFmtId="2" fontId="3" fillId="6" borderId="23" applyNumberFormat="1" applyFont="1" applyFill="1" applyBorder="1" applyAlignment="1" applyProtection="0">
      <alignment vertical="top"/>
    </xf>
    <xf numFmtId="0" fontId="3" fillId="6" borderId="23" applyNumberFormat="1" applyFont="1" applyFill="1" applyBorder="1" applyAlignment="1" applyProtection="0">
      <alignment vertical="top"/>
    </xf>
    <xf numFmtId="2" fontId="3" fillId="6" borderId="6" applyNumberFormat="1" applyFont="1" applyFill="1" applyBorder="1" applyAlignment="1" applyProtection="0">
      <alignment vertical="top"/>
    </xf>
    <xf numFmtId="10" fontId="3" fillId="6" borderId="6" applyNumberFormat="1" applyFont="1" applyFill="1" applyBorder="1" applyAlignment="1" applyProtection="0">
      <alignment vertical="top"/>
    </xf>
    <xf numFmtId="61" fontId="3" fillId="7" borderId="6" applyNumberFormat="1" applyFont="1" applyFill="1" applyBorder="1" applyAlignment="1" applyProtection="0">
      <alignment vertical="top"/>
    </xf>
    <xf numFmtId="61" fontId="3" fillId="6" borderId="6" applyNumberFormat="1" applyFont="1" applyFill="1" applyBorder="1" applyAlignment="1" applyProtection="0">
      <alignment vertical="top"/>
    </xf>
    <xf numFmtId="0" fontId="6" fillId="4" borderId="50" applyNumberFormat="0" applyFont="1" applyFill="1" applyBorder="1" applyAlignment="1" applyProtection="0">
      <alignment vertical="top" wrapText="1"/>
    </xf>
    <xf numFmtId="0" fontId="6" fillId="4" borderId="51" applyNumberFormat="1" applyFont="1" applyFill="1" applyBorder="1" applyAlignment="1" applyProtection="0">
      <alignment vertical="top" wrapText="1"/>
    </xf>
    <xf numFmtId="0" fontId="3" fillId="4" borderId="52" applyNumberFormat="1" applyFont="1" applyFill="1" applyBorder="1" applyAlignment="1" applyProtection="0">
      <alignment vertical="top"/>
    </xf>
    <xf numFmtId="0" fontId="3" fillId="4" borderId="36" applyNumberFormat="1" applyFont="1" applyFill="1" applyBorder="1" applyAlignment="1" applyProtection="0">
      <alignment vertical="top"/>
    </xf>
    <xf numFmtId="0" fontId="3" fillId="4" borderId="37" applyNumberFormat="1" applyFont="1" applyFill="1" applyBorder="1" applyAlignment="1" applyProtection="0">
      <alignment vertical="top"/>
    </xf>
    <xf numFmtId="2" fontId="3" fillId="4" borderId="40" applyNumberFormat="1" applyFont="1" applyFill="1" applyBorder="1" applyAlignment="1" applyProtection="0">
      <alignment vertical="top"/>
    </xf>
    <xf numFmtId="0" fontId="3" fillId="4" borderId="40" applyNumberFormat="1" applyFont="1" applyFill="1" applyBorder="1" applyAlignment="1" applyProtection="0">
      <alignment vertical="top"/>
    </xf>
    <xf numFmtId="2" fontId="3" fillId="4" borderId="36" applyNumberFormat="1" applyFont="1" applyFill="1" applyBorder="1" applyAlignment="1" applyProtection="0">
      <alignment vertical="top"/>
    </xf>
    <xf numFmtId="2" fontId="3" fillId="6" borderId="53" applyNumberFormat="1" applyFont="1" applyFill="1" applyBorder="1" applyAlignment="1" applyProtection="0">
      <alignment vertical="top"/>
    </xf>
    <xf numFmtId="0" fontId="3" fillId="6" borderId="54" applyNumberFormat="1" applyFont="1" applyFill="1" applyBorder="1" applyAlignment="1" applyProtection="0">
      <alignment vertical="top"/>
    </xf>
    <xf numFmtId="0" fontId="3" fillId="7" borderId="6" applyNumberFormat="1" applyFont="1" applyFill="1" applyBorder="1" applyAlignment="1" applyProtection="0">
      <alignment horizontal="right" vertical="top"/>
    </xf>
    <xf numFmtId="2" fontId="3" fillId="7" borderId="55" applyNumberFormat="1" applyFont="1" applyFill="1" applyBorder="1" applyAlignment="1" applyProtection="0">
      <alignment vertical="top"/>
    </xf>
    <xf numFmtId="0" fontId="3" fillId="7" borderId="56" applyNumberFormat="1" applyFont="1" applyFill="1" applyBorder="1" applyAlignment="1" applyProtection="0">
      <alignment vertical="top"/>
    </xf>
    <xf numFmtId="2" fontId="3" fillId="6" borderId="55" applyNumberFormat="1" applyFont="1" applyFill="1" applyBorder="1" applyAlignment="1" applyProtection="0">
      <alignment vertical="top"/>
    </xf>
    <xf numFmtId="0" fontId="3" fillId="6" borderId="56" applyNumberFormat="1" applyFont="1" applyFill="1" applyBorder="1" applyAlignment="1" applyProtection="0">
      <alignment vertical="top"/>
    </xf>
    <xf numFmtId="2" fontId="3" fillId="4" borderId="57" applyNumberFormat="1" applyFont="1" applyFill="1" applyBorder="1" applyAlignment="1" applyProtection="0">
      <alignment vertical="top"/>
    </xf>
    <xf numFmtId="0" fontId="3" fillId="4" borderId="58" applyNumberFormat="1" applyFont="1" applyFill="1" applyBorder="1" applyAlignment="1" applyProtection="0">
      <alignment vertical="top"/>
    </xf>
    <xf numFmtId="0" fontId="6" fillId="4" borderId="46" applyNumberFormat="0" applyFont="1" applyFill="1" applyBorder="1" applyAlignment="1" applyProtection="0">
      <alignment vertical="top" wrapText="1"/>
    </xf>
    <xf numFmtId="0" fontId="6" fillId="4" borderId="47" applyNumberFormat="1" applyFont="1" applyFill="1" applyBorder="1" applyAlignment="1" applyProtection="0">
      <alignment vertical="top" wrapText="1"/>
    </xf>
    <xf numFmtId="0" fontId="3" fillId="4" borderId="22" applyNumberFormat="1" applyFont="1" applyFill="1" applyBorder="1" applyAlignment="1" applyProtection="0">
      <alignment vertical="top"/>
    </xf>
    <xf numFmtId="0" fontId="3" fillId="4" borderId="23" applyNumberFormat="1" applyFont="1" applyFill="1" applyBorder="1" applyAlignment="1" applyProtection="0">
      <alignment vertical="top"/>
    </xf>
    <xf numFmtId="2" fontId="3" fillId="4" borderId="23" applyNumberFormat="1" applyFont="1" applyFill="1" applyBorder="1" applyAlignment="1" applyProtection="0">
      <alignment vertical="top"/>
    </xf>
    <xf numFmtId="0" fontId="3" applyNumberFormat="1" applyFont="1" applyFill="0" applyBorder="0" applyAlignment="1" applyProtection="0">
      <alignment vertical="top"/>
    </xf>
    <xf numFmtId="0" fontId="3" fillId="6" borderId="3" applyNumberFormat="1" applyFont="1" applyFill="1" applyBorder="1" applyAlignment="1" applyProtection="0">
      <alignment vertical="top" wrapText="1"/>
    </xf>
    <xf numFmtId="0" fontId="3" fillId="6" borderId="4" applyNumberFormat="1" applyFont="1" applyFill="1" applyBorder="1" applyAlignment="1" applyProtection="0">
      <alignment vertical="top" wrapText="1"/>
    </xf>
    <xf numFmtId="0" fontId="3" fillId="7" borderId="5" applyNumberFormat="1" applyFont="1" applyFill="1" applyBorder="1" applyAlignment="1" applyProtection="0">
      <alignment vertical="top" wrapText="1"/>
    </xf>
    <xf numFmtId="0" fontId="3" fillId="6" borderId="5" applyNumberFormat="1" applyFont="1" applyFill="1" applyBorder="1" applyAlignment="1" applyProtection="0">
      <alignment vertical="top" wrapText="1"/>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015e88b1"/>
      <rgbColor rgb="01eef3f4"/>
      <rgbColor rgb="ff0000ff"/>
      <rgbColor rgb="ff4d6165"/>
      <rgbColor rgb="ff485e6c"/>
      <rgbColor rgb="ffffffff"/>
      <rgbColor rgb="ff9cabbe"/>
      <rgbColor rgb="ffbfe3f9"/>
      <rgbColor rgb="ff5c717f"/>
      <rgbColor rgb="fff1f5f8"/>
      <rgbColor rgb="ffb0c2d3"/>
      <rgbColor rgb="fff4f7f9"/>
      <rgbColor rgb="ffe5eaef"/>
      <rgbColor rgb="ffbecbd8"/>
      <rgbColor rgb="ffbfccda"/>
      <rgbColor rgb="ffdfe6eb"/>
      <rgbColor rgb="ff474c4b"/>
    </indexedColors>
  </colors>
</styleSheet>
</file>

<file path=xl/_rels/workbook.xml.rels><?xml version="1.0" encoding="UTF-8" standalone="yes"?><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worksheet" Target="worksheets/sheet.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s>

</file>

<file path=xl/worksheets/sheet.xml><?xml version="1.0" encoding="utf-8"?>
<worksheet xmlns:r="http://schemas.openxmlformats.org/officeDocument/2006/relationships" xmlns="http://schemas.openxmlformats.org/spreadsheetml/2006/main">
  <sheetViews>
    <sheetView workbookViewId="0" showGridLines="0" defaultGridColor="1"/>
  </sheetViews>
  <sheetFormatPr defaultColWidth="10" defaultRowHeight="13" customHeight="1" outlineLevelRow="0" outlineLevelCol="0"/>
  <cols>
    <col min="1" max="1" width="2" customWidth="1"/>
    <col min="2" max="4" width="28" customWidth="1"/>
  </cols>
  <sheetData>
    <row r="3" ht="50" customHeight="1">
      <c r="B3" t="s" s="1">
        <v>0</v>
      </c>
      <c r="C3"/>
      <c r="D3"/>
    </row>
    <row r="7">
      <c r="B7" t="s" s="2">
        <v>1</v>
      </c>
      <c r="C7" t="s" s="2">
        <v>2</v>
      </c>
      <c r="D7" t="s" s="2">
        <v>3</v>
      </c>
    </row>
    <row r="9">
      <c r="B9" t="s" s="3">
        <v>4</v>
      </c>
      <c r="C9" s="3"/>
      <c r="D9" s="3"/>
    </row>
    <row r="10">
      <c r="B10" s="4"/>
      <c r="C10" t="s" s="4">
        <v>5</v>
      </c>
      <c r="D10" t="s" s="5">
        <v>6</v>
      </c>
    </row>
    <row r="11">
      <c r="B11" s="4"/>
      <c r="C11" t="s" s="4">
        <v>55</v>
      </c>
      <c r="D11" t="s" s="5">
        <v>56</v>
      </c>
    </row>
    <row r="12">
      <c r="B12" s="4"/>
      <c r="C12" t="s" s="4">
        <v>73</v>
      </c>
      <c r="D12" t="s" s="5">
        <v>74</v>
      </c>
    </row>
    <row r="13">
      <c r="B13" s="4"/>
      <c r="C13" t="s" s="4">
        <v>80</v>
      </c>
      <c r="D13" t="s" s="5">
        <v>81</v>
      </c>
    </row>
    <row r="14">
      <c r="B14" s="4"/>
      <c r="C14" t="s" s="4">
        <v>35</v>
      </c>
      <c r="D14" t="s" s="5">
        <v>130</v>
      </c>
    </row>
    <row r="15">
      <c r="B15" s="4"/>
      <c r="C15" t="s" s="4">
        <v>9</v>
      </c>
      <c r="D15" t="s" s="5">
        <v>153</v>
      </c>
    </row>
  </sheetData>
  <mergeCells count="1">
    <mergeCell ref="B3:D3"/>
  </mergeCells>
  <hyperlinks>
    <hyperlink ref="D10" location="'Déplacements - Notes'!R2C1" tooltip="" display="Déplacements - Notes"/>
    <hyperlink ref="D11" location="'Déplacements - par personne'!R2C1" tooltip="" display="Déplacements - par personne"/>
    <hyperlink ref="D12" location="'Déplacements - par Raison (proj'!R2C1" tooltip="" display="Déplacements - par Raison (proj"/>
    <hyperlink ref="D13" location="'Déplacements - par véhicule'!R2C1" tooltip="" display="Déplacements - par véhicule"/>
    <hyperlink ref="D14" location="'Déplacements - Budget et suivi'!R2C1" tooltip="" display="Déplacements - Budget et suivi"/>
    <hyperlink ref="D15" location="'Déplacements - Politiques'!R2C1" tooltip="" display="Déplacements - Politiques"/>
  </hyperlinks>
</worksheet>
</file>

<file path=xl/worksheets/sheet1.xml><?xml version="1.0" encoding="utf-8"?>
<worksheet xmlns:r="http://schemas.openxmlformats.org/officeDocument/2006/relationships" xmlns="http://schemas.openxmlformats.org/spreadsheetml/2006/main">
  <dimension ref="A2:C41"/>
  <sheetViews>
    <sheetView workbookViewId="0" showGridLines="0" defaultGridColor="1">
      <pane topLeftCell="B3" xSplit="1" ySplit="2" activePane="bottomRight" state="frozenSplit"/>
    </sheetView>
  </sheetViews>
  <sheetFormatPr defaultColWidth="12.25" defaultRowHeight="25" customHeight="1" outlineLevelRow="0" outlineLevelCol="0"/>
  <cols>
    <col min="1" max="1" width="18.8125" style="6" customWidth="1"/>
    <col min="2" max="2" width="13.0078" style="6" customWidth="1"/>
    <col min="3" max="3" width="81.2812" style="6" customWidth="1"/>
    <col min="4" max="256" width="12.25" style="6" customWidth="1"/>
  </cols>
  <sheetData>
    <row r="1">
      <c r="A1" t="s" s="7">
        <v>5</v>
      </c>
      <c r="B1"/>
      <c r="C1"/>
    </row>
    <row r="2" ht="24" customHeight="1">
      <c r="A2" t="s" s="8">
        <v>7</v>
      </c>
      <c r="B2" s="9"/>
      <c r="C2" s="9"/>
    </row>
    <row r="3" ht="24" customHeight="1">
      <c r="A3" t="s" s="10">
        <v>5</v>
      </c>
      <c r="B3" t="s" s="11">
        <v>8</v>
      </c>
      <c r="C3" s="12"/>
    </row>
    <row r="4" ht="24" customHeight="1">
      <c r="A4" t="s" s="10">
        <v>9</v>
      </c>
      <c r="B4" t="s" s="13">
        <v>10</v>
      </c>
      <c r="C4" s="14"/>
    </row>
    <row r="5" ht="41" customHeight="1">
      <c r="A5" s="15"/>
      <c r="B5" s="16"/>
      <c r="C5" t="s" s="17">
        <v>11</v>
      </c>
    </row>
    <row r="6" ht="41" customHeight="1">
      <c r="A6" t="s" s="10">
        <v>12</v>
      </c>
      <c r="B6" t="s" s="13">
        <v>13</v>
      </c>
      <c r="C6" s="14"/>
    </row>
    <row r="7" ht="24" customHeight="1">
      <c r="A7" s="15"/>
      <c r="B7" s="16"/>
      <c r="C7" t="s" s="18">
        <v>14</v>
      </c>
    </row>
    <row r="8" ht="24" customHeight="1">
      <c r="A8" s="15"/>
      <c r="B8" s="19"/>
      <c r="C8" t="s" s="20">
        <v>15</v>
      </c>
    </row>
    <row r="9" ht="41" customHeight="1">
      <c r="A9" s="15"/>
      <c r="B9" s="16"/>
      <c r="C9" t="s" s="17">
        <v>16</v>
      </c>
    </row>
    <row r="10" ht="41" customHeight="1">
      <c r="A10" s="15"/>
      <c r="B10" s="19"/>
      <c r="C10" t="s" s="21">
        <v>17</v>
      </c>
    </row>
    <row r="11" ht="24" customHeight="1">
      <c r="A11" s="15"/>
      <c r="B11" s="16"/>
      <c r="C11" t="s" s="17">
        <v>18</v>
      </c>
    </row>
    <row r="12" ht="24" customHeight="1">
      <c r="A12" s="15"/>
      <c r="B12" s="19"/>
      <c r="C12" t="s" s="21">
        <v>19</v>
      </c>
    </row>
    <row r="13" ht="24" customHeight="1">
      <c r="A13" s="15"/>
      <c r="B13" s="16"/>
      <c r="C13" t="s" s="17">
        <v>20</v>
      </c>
    </row>
    <row r="14" ht="41" customHeight="1">
      <c r="A14" s="15"/>
      <c r="B14" s="19"/>
      <c r="C14" t="s" s="21">
        <v>21</v>
      </c>
    </row>
    <row r="15" ht="41" customHeight="1">
      <c r="A15" s="15"/>
      <c r="B15" s="16"/>
      <c r="C15" t="s" s="17">
        <v>22</v>
      </c>
    </row>
    <row r="16" ht="41" customHeight="1">
      <c r="A16" s="15"/>
      <c r="B16" s="19"/>
      <c r="C16" t="s" s="21">
        <v>23</v>
      </c>
    </row>
    <row r="17" ht="41" customHeight="1">
      <c r="A17" s="15"/>
      <c r="B17" s="16"/>
      <c r="C17" t="s" s="17">
        <v>24</v>
      </c>
    </row>
    <row r="18" ht="41" customHeight="1">
      <c r="A18" s="15"/>
      <c r="B18" s="19"/>
      <c r="C18" t="s" s="21">
        <v>25</v>
      </c>
    </row>
    <row r="19" ht="24" customHeight="1">
      <c r="A19" s="15"/>
      <c r="B19" s="16"/>
      <c r="C19" t="s" s="17">
        <v>26</v>
      </c>
    </row>
    <row r="20" ht="41" customHeight="1">
      <c r="A20" s="15"/>
      <c r="B20" s="19"/>
      <c r="C20" t="s" s="21">
        <v>27</v>
      </c>
    </row>
    <row r="21" ht="24" customHeight="1">
      <c r="A21" s="15"/>
      <c r="B21" s="16"/>
      <c r="C21" t="s" s="17">
        <v>28</v>
      </c>
    </row>
    <row r="22" ht="41" customHeight="1">
      <c r="A22" s="15"/>
      <c r="B22" s="19"/>
      <c r="C22" t="s" s="21">
        <v>29</v>
      </c>
    </row>
    <row r="23" ht="41" customHeight="1">
      <c r="A23" t="s" s="10">
        <v>30</v>
      </c>
      <c r="B23" t="s" s="22">
        <v>31</v>
      </c>
      <c r="C23" s="23"/>
    </row>
    <row r="24" ht="24" customHeight="1">
      <c r="A24" s="15"/>
      <c r="B24" s="19"/>
      <c r="C24" t="s" s="21">
        <v>32</v>
      </c>
    </row>
    <row r="25" ht="41" customHeight="1">
      <c r="A25" s="15"/>
      <c r="B25" s="16"/>
      <c r="C25" t="s" s="17">
        <v>33</v>
      </c>
    </row>
    <row r="26" ht="41" customHeight="1">
      <c r="A26" s="15"/>
      <c r="B26" s="19"/>
      <c r="C26" t="s" s="21">
        <v>34</v>
      </c>
    </row>
    <row r="27" ht="24" customHeight="1">
      <c r="A27" t="s" s="10">
        <v>35</v>
      </c>
      <c r="B27" t="s" s="22">
        <v>36</v>
      </c>
      <c r="C27" s="23"/>
    </row>
    <row r="28" ht="24" customHeight="1">
      <c r="A28" s="15"/>
      <c r="B28" t="s" s="13">
        <v>37</v>
      </c>
      <c r="C28" s="14"/>
    </row>
    <row r="29" ht="41" customHeight="1">
      <c r="A29" s="15"/>
      <c r="B29" s="16"/>
      <c r="C29" t="s" s="17">
        <v>38</v>
      </c>
    </row>
    <row r="30" ht="41" customHeight="1">
      <c r="A30" s="15"/>
      <c r="B30" s="19"/>
      <c r="C30" t="s" s="21">
        <v>39</v>
      </c>
    </row>
    <row r="31" ht="41" customHeight="1">
      <c r="A31" s="15"/>
      <c r="B31" s="16"/>
      <c r="C31" t="s" s="17">
        <v>40</v>
      </c>
    </row>
    <row r="32" ht="41" customHeight="1">
      <c r="A32" t="s" s="24">
        <v>41</v>
      </c>
      <c r="B32" s="25"/>
      <c r="C32" s="26"/>
    </row>
    <row r="33" ht="24" customHeight="1">
      <c r="A33" t="s" s="10">
        <v>42</v>
      </c>
      <c r="B33" t="s" s="22">
        <v>43</v>
      </c>
      <c r="C33" s="23"/>
    </row>
    <row r="34" ht="24" customHeight="1">
      <c r="A34" t="s" s="10">
        <v>44</v>
      </c>
      <c r="B34" t="s" s="13">
        <v>45</v>
      </c>
      <c r="C34" s="14"/>
    </row>
    <row r="35" ht="24" customHeight="1">
      <c r="A35" s="15"/>
      <c r="B35" s="22">
        <v>0.37</v>
      </c>
      <c r="C35" t="s" s="18">
        <v>46</v>
      </c>
    </row>
    <row r="36" ht="24" customHeight="1">
      <c r="A36" s="15"/>
      <c r="B36" s="13">
        <v>0.24</v>
      </c>
      <c r="C36" t="s" s="20">
        <v>47</v>
      </c>
    </row>
    <row r="37" ht="24" customHeight="1">
      <c r="A37" s="15"/>
      <c r="B37" s="27">
        <f>0.24/0.37</f>
        <v>0.6486486486486487</v>
      </c>
      <c r="C37" t="s" s="18">
        <v>48</v>
      </c>
    </row>
    <row r="38" ht="24" customHeight="1">
      <c r="A38" t="s" s="10">
        <v>49</v>
      </c>
      <c r="B38" t="s" s="13">
        <v>50</v>
      </c>
      <c r="C38" s="14"/>
    </row>
    <row r="39" ht="24" customHeight="1">
      <c r="A39" t="s" s="10">
        <v>51</v>
      </c>
      <c r="B39" t="s" s="22">
        <v>52</v>
      </c>
      <c r="C39" s="23"/>
    </row>
    <row r="40" ht="24" customHeight="1">
      <c r="A40" s="15"/>
      <c r="B40" s="19"/>
      <c r="C40" s="14"/>
    </row>
    <row r="41" ht="24" customHeight="1">
      <c r="A41" t="s" s="28">
        <v>53</v>
      </c>
      <c r="B41" t="s" s="29">
        <v>54</v>
      </c>
      <c r="C41" s="30"/>
    </row>
  </sheetData>
  <mergeCells count="1">
    <mergeCell ref="A1:C1"/>
  </mergeCells>
  <pageMargins left="0" right="0" top="0" bottom="0" header="0" footer="0"/>
  <pageSetup firstPageNumber="1" fitToHeight="1" fitToWidth="1" scale="50" useFirstPageNumber="0" orientation="landscape" pageOrder="downThenOver"/>
  <headerFooter>
    <oddFooter>&amp;"Helvetica-Light,Regular"&amp;11&amp;P</oddFooter>
  </headerFooter>
</worksheet>
</file>

<file path=xl/worksheets/sheet2.xml><?xml version="1.0" encoding="utf-8"?>
<worksheet xmlns:r="http://schemas.openxmlformats.org/officeDocument/2006/relationships" xmlns="http://schemas.openxmlformats.org/spreadsheetml/2006/main">
  <dimension ref="A2:I10"/>
  <sheetViews>
    <sheetView workbookViewId="0" showGridLines="0" defaultGridColor="1">
      <pane topLeftCell="B4" xSplit="1" ySplit="3" activePane="bottomRight" state="frozenSplit"/>
    </sheetView>
  </sheetViews>
  <sheetFormatPr defaultColWidth="11.559" defaultRowHeight="25" customHeight="1" outlineLevelRow="0" outlineLevelCol="0"/>
  <cols>
    <col min="1" max="1" width="13.9766" style="31" customWidth="1"/>
    <col min="2" max="2" width="9.88281" style="31" customWidth="1"/>
    <col min="3" max="3" width="5.5" style="31" customWidth="1"/>
    <col min="4" max="4" width="8.03125" style="31" customWidth="1"/>
    <col min="5" max="5" width="6.875" style="31" customWidth="1"/>
    <col min="6" max="6" width="8" style="31" customWidth="1"/>
    <col min="7" max="7" width="5.5" style="31" customWidth="1"/>
    <col min="8" max="8" width="10.4688" style="31" customWidth="1"/>
    <col min="9" max="9" width="7.73438" style="31" customWidth="1"/>
    <col min="10" max="256" width="11.5859" style="31" customWidth="1"/>
  </cols>
  <sheetData>
    <row r="1">
      <c r="A1" t="s" s="7">
        <v>55</v>
      </c>
      <c r="B1"/>
      <c r="C1"/>
      <c r="D1"/>
      <c r="E1"/>
      <c r="F1"/>
      <c r="G1"/>
      <c r="H1"/>
      <c r="I1"/>
    </row>
    <row r="2" ht="42" customHeight="1">
      <c r="A2" s="32"/>
      <c r="B2" t="s" s="33">
        <v>57</v>
      </c>
      <c r="C2" s="34"/>
      <c r="D2" t="s" s="33">
        <v>58</v>
      </c>
      <c r="E2" s="34"/>
      <c r="F2" t="s" s="33">
        <v>59</v>
      </c>
      <c r="G2" s="34"/>
      <c r="H2" t="s" s="33">
        <v>60</v>
      </c>
      <c r="I2" s="34"/>
    </row>
    <row r="3" ht="25" customHeight="1">
      <c r="A3" t="s" s="35">
        <v>61</v>
      </c>
      <c r="B3" t="s" s="36">
        <v>62</v>
      </c>
      <c r="C3" t="s" s="37">
        <v>63</v>
      </c>
      <c r="D3" t="s" s="36">
        <v>62</v>
      </c>
      <c r="E3" t="s" s="37">
        <v>63</v>
      </c>
      <c r="F3" t="s" s="36">
        <v>62</v>
      </c>
      <c r="G3" t="s" s="37">
        <v>63</v>
      </c>
      <c r="H3" t="s" s="36">
        <v>62</v>
      </c>
      <c r="I3" t="s" s="37">
        <v>63</v>
      </c>
    </row>
    <row r="4" ht="25" customHeight="1">
      <c r="A4" t="s" s="38">
        <v>64</v>
      </c>
      <c r="B4" s="39">
        <f>(SUMIF('Déplacements - par véhicule'!$G4:$G14,$A4,'Déplacements - par véhicule'!$N4:$N14)*'Déplacements - par véhicule'!$O$3*'Déplacements - par véhicule'!G$3)+(SUMIF('Déplacements - par véhicule'!$H4:$H14,$A4,'Déplacements - par véhicule'!$D4:$D14)*'Déplacements - par véhicule'!$O$3*'Déplacements - par véhicule'!H$3)+(SUMIF('Déplacements - par véhicule'!$I4:$I14,$A4,'Déplacements - par véhicule'!$D4:$D14)*'Déplacements - par véhicule'!$O$3*'Déplacements - par véhicule'!I$3)+(SUMIF('Déplacements - par véhicule'!$J4:$J14,$A4,'Déplacements - par véhicule'!$D4:$D14)*'Déplacements - par véhicule'!$O$3*'Déplacements - par véhicule'!J$3)+(SUMIF('Déplacements - par véhicule'!$K4:$K14,$A4,'Déplacements - par véhicule'!$D4:$D14)*'Déplacements - par véhicule'!$O$3*'Déplacements - par véhicule'!K$3)</f>
        <v>40.12800000000001</v>
      </c>
      <c r="C4" t="s" s="40">
        <v>65</v>
      </c>
      <c r="D4" s="41">
        <f>SUMIF('Déplacements - par véhicule'!$G4:$G14,$A4,'Déplacements - par véhicule'!$R4:$R14)*'Déplacements - par véhicule'!$S$3+SUMIF('Déplacements - par véhicule'!$H4:$H14,$A4,'Déplacements - par véhicule'!$R4:$R14)*'Déplacements - par véhicule'!$S$3+SUMIF('Déplacements - par véhicule'!$I4:$I14,$A4,'Déplacements - par véhicule'!$R4:$R14)*'Déplacements - par véhicule'!$S$3+SUMIF('Déplacements - par véhicule'!$J4:$J14,$A4,'Déplacements - par véhicule'!$R4:$R14)*'Déplacements - par véhicule'!$S$3+SUMIF('Déplacements - par véhicule'!$K4:$K14,$A4,'Déplacements - par véhicule'!$R4:$R14)*'Déplacements - par véhicule'!$S$3</f>
        <v>37.48333333333333</v>
      </c>
      <c r="E4" t="s" s="40">
        <v>44</v>
      </c>
      <c r="F4" s="41">
        <f>SUMIF('Déplacements - par véhicule'!$G4:$G14,$A4,'Déplacements - par véhicule'!$U4:$U14)+SUMIF('Déplacements - par véhicule'!$H4:$H14,$A4,'Déplacements - par véhicule'!$U4:$U14)+SUMIF('Déplacements - par véhicule'!$I4:$I14,$A4,'Déplacements - par véhicule'!$U4:$U14)+SUMIF('Déplacements - par véhicule'!$J4:$J14,$A4,'Déplacements - par véhicule'!$U4:$U14)+SUMIF('Déplacements - par véhicule'!$K4:$K14,$A4,'Déplacements - par véhicule'!$U4:$U14)</f>
        <v>0.6500000000000001</v>
      </c>
      <c r="G4" t="s" s="40">
        <v>51</v>
      </c>
      <c r="H4" s="41">
        <f>SUMIF('Déplacements - par véhicule'!$G4:$G14,$A4,'Déplacements - par véhicule'!$AA4:$AA14)+SUMIF('Déplacements - par véhicule'!$H4:$H14,$A4,'Déplacements - par véhicule'!$AA4:$AA14)+SUMIF('Déplacements - par véhicule'!$I4:$I14,$A4,'Déplacements - par véhicule'!$AA4:$AA14)+SUMIF('Déplacements - par véhicule'!$J4:$J14,$A4,'Déplacements - par véhicule'!$AA4:$AA14)+SUMIF('Déplacements - par véhicule'!$K4:$K14,$A4,'Déplacements - par véhicule'!$AA4:$AA14)</f>
        <v>0</v>
      </c>
      <c r="I4" t="s" s="40">
        <v>66</v>
      </c>
    </row>
    <row r="5" ht="25" customHeight="1">
      <c r="A5" t="s" s="38">
        <v>67</v>
      </c>
      <c r="B5" s="42">
        <f>(SUMIF('Déplacements - par véhicule'!$G4:$G14,$A5,'Déplacements - par véhicule'!$N4:$N14)*'Déplacements - par véhicule'!$O$3*'Déplacements - par véhicule'!G$3)+(SUMIF('Déplacements - par véhicule'!$H4:$H14,$A5,'Déplacements - par véhicule'!$D4:$D14)*'Déplacements - par véhicule'!$O$3*'Déplacements - par véhicule'!H$3)+(SUMIF('Déplacements - par véhicule'!$I4:$I14,$A5,'Déplacements - par véhicule'!$D4:$D14)*'Déplacements - par véhicule'!$O$3*'Déplacements - par véhicule'!I$3)+(SUMIF('Déplacements - par véhicule'!$J4:$J14,$A5,'Déplacements - par véhicule'!$D4:$D14)*'Déplacements - par véhicule'!$O$3*'Déplacements - par véhicule'!J$3)+(SUMIF('Déplacements - par véhicule'!$K4:$K14,$A5,'Déplacements - par véhicule'!$D4:$D14)*'Déplacements - par véhicule'!$O$3*'Déplacements - par véhicule'!K$3)</f>
        <v>34.32</v>
      </c>
      <c r="C5" t="s" s="43">
        <v>65</v>
      </c>
      <c r="D5" s="44">
        <f>SUMIF('Déplacements - par véhicule'!$G4:$G14,$A5,'Déplacements - par véhicule'!$R4:$R14)*'Déplacements - par véhicule'!$S$3+SUMIF('Déplacements - par véhicule'!$H4:$H14,$A5,'Déplacements - par véhicule'!$R4:$R14)*'Déplacements - par véhicule'!$S$3+SUMIF('Déplacements - par véhicule'!$I4:$I14,$A5,'Déplacements - par véhicule'!$R4:$R14)*'Déplacements - par véhicule'!$S$3+SUMIF('Déplacements - par véhicule'!$J4:$J14,$A5,'Déplacements - par véhicule'!$R4:$R14)*'Déplacements - par véhicule'!$S$3+SUMIF('Déplacements - par véhicule'!$K4:$K14,$A5,'Déplacements - par véhicule'!$R4:$R14)*'Déplacements - par véhicule'!$S$3</f>
        <v>37.48333333333333</v>
      </c>
      <c r="E5" t="s" s="43">
        <v>44</v>
      </c>
      <c r="F5" s="44">
        <f>SUMIF('Déplacements - par véhicule'!$G4:$G14,$A5,'Déplacements - par véhicule'!$U4:$U14)+SUMIF('Déplacements - par véhicule'!$H4:$H14,$A5,'Déplacements - par véhicule'!$U4:$U14)+SUMIF('Déplacements - par véhicule'!$I4:$I14,$A5,'Déplacements - par véhicule'!$U4:$U14)+SUMIF('Déplacements - par véhicule'!$J4:$J14,$A5,'Déplacements - par véhicule'!$U4:$U14)+SUMIF('Déplacements - par véhicule'!$K4:$K14,$A5,'Déplacements - par véhicule'!$U4:$U14)</f>
        <v>0.6500000000000001</v>
      </c>
      <c r="G5" t="s" s="43">
        <v>51</v>
      </c>
      <c r="H5" s="44">
        <f>SUMIF('Déplacements - par véhicule'!$G4:$G14,$A5,'Déplacements - par véhicule'!$AA4:$AA14)+SUMIF('Déplacements - par véhicule'!$H4:$H14,$A5,'Déplacements - par véhicule'!$AA4:$AA14)+SUMIF('Déplacements - par véhicule'!$I4:$I14,$A5,'Déplacements - par véhicule'!$AA4:$AA14)+SUMIF('Déplacements - par véhicule'!$J4:$J14,$A5,'Déplacements - par véhicule'!$AA4:$AA14)+SUMIF('Déplacements - par véhicule'!$K4:$K14,$A5,'Déplacements - par véhicule'!$AA4:$AA14)</f>
        <v>0</v>
      </c>
      <c r="I5" t="s" s="43">
        <v>66</v>
      </c>
    </row>
    <row r="6" ht="25" customHeight="1">
      <c r="A6" t="s" s="38">
        <v>68</v>
      </c>
      <c r="B6" s="45">
        <f>(SUMIF('Déplacements - par véhicule'!$G4:$G14,$A6,'Déplacements - par véhicule'!$N4:$N14)*'Déplacements - par véhicule'!$O$3*'Déplacements - par véhicule'!G$3)+(SUMIF('Déplacements - par véhicule'!$H4:$H14,$A6,'Déplacements - par véhicule'!$D4:$D14)*'Déplacements - par véhicule'!$O$3*'Déplacements - par véhicule'!H$3)+(SUMIF('Déplacements - par véhicule'!$I4:$I14,$A6,'Déplacements - par véhicule'!$D4:$D14)*'Déplacements - par véhicule'!$O$3*'Déplacements - par véhicule'!I$3)+(SUMIF('Déplacements - par véhicule'!$J4:$J14,$A6,'Déplacements - par véhicule'!$D4:$D14)*'Déplacements - par véhicule'!$O$3*'Déplacements - par véhicule'!J$3)+(SUMIF('Déplacements - par véhicule'!$K4:$K14,$A6,'Déplacements - par véhicule'!$D4:$D14)*'Déplacements - par véhicule'!$O$3*'Déplacements - par véhicule'!K$3)</f>
        <v>44.08800000000001</v>
      </c>
      <c r="C6" t="s" s="46">
        <v>65</v>
      </c>
      <c r="D6" s="47">
        <f>SUMIF('Déplacements - par véhicule'!$G4:$G14,$A6,'Déplacements - par véhicule'!$R4:$R14)*'Déplacements - par véhicule'!$S$3+SUMIF('Déplacements - par véhicule'!$H4:$H14,$A6,'Déplacements - par véhicule'!$R4:$R14)*'Déplacements - par véhicule'!$S$3+SUMIF('Déplacements - par véhicule'!$I4:$I14,$A6,'Déplacements - par véhicule'!$R4:$R14)*'Déplacements - par véhicule'!$S$3+SUMIF('Déplacements - par véhicule'!$J4:$J14,$A6,'Déplacements - par véhicule'!$R4:$R14)*'Déplacements - par véhicule'!$S$3+SUMIF('Déplacements - par véhicule'!$K4:$K14,$A6,'Déplacements - par véhicule'!$R4:$R14)*'Déplacements - par véhicule'!$S$3</f>
        <v>139.8713333333334</v>
      </c>
      <c r="E6" t="s" s="46">
        <v>44</v>
      </c>
      <c r="F6" s="47">
        <f>SUMIF('Déplacements - par véhicule'!$G4:$G14,$A6,'Déplacements - par véhicule'!$U4:$U14)+SUMIF('Déplacements - par véhicule'!$H4:$H14,$A6,'Déplacements - par véhicule'!$U4:$U14)+SUMIF('Déplacements - par véhicule'!$I4:$I14,$A6,'Déplacements - par véhicule'!$U4:$U14)+SUMIF('Déplacements - par véhicule'!$J4:$J14,$A6,'Déplacements - par véhicule'!$U4:$U14)+SUMIF('Déplacements - par véhicule'!$K4:$K14,$A6,'Déplacements - par véhicule'!$U4:$U14)</f>
        <v>2.116666666666667</v>
      </c>
      <c r="G6" t="s" s="46">
        <v>51</v>
      </c>
      <c r="H6" s="47">
        <f>SUMIF('Déplacements - par véhicule'!$G4:$G14,$A6,'Déplacements - par véhicule'!$AA4:$AA14)+SUMIF('Déplacements - par véhicule'!$H4:$H14,$A6,'Déplacements - par véhicule'!$AA4:$AA14)+SUMIF('Déplacements - par véhicule'!$I4:$I14,$A6,'Déplacements - par véhicule'!$AA4:$AA14)+SUMIF('Déplacements - par véhicule'!$J4:$J14,$A6,'Déplacements - par véhicule'!$AA4:$AA14)+SUMIF('Déplacements - par véhicule'!$K4:$K14,$A6,'Déplacements - par véhicule'!$AA4:$AA14)</f>
        <v>1.8</v>
      </c>
      <c r="I6" t="s" s="46">
        <v>66</v>
      </c>
    </row>
    <row r="7" ht="25" customHeight="1">
      <c r="A7" t="s" s="38">
        <v>69</v>
      </c>
      <c r="B7" s="42">
        <f>(SUMIF('Déplacements - par véhicule'!$G4:$G14,$A7,'Déplacements - par véhicule'!$N4:$N14)*'Déplacements - par véhicule'!$O$3*'Déplacements - par véhicule'!G$3)+(SUMIF('Déplacements - par véhicule'!$H4:$H14,$A7,'Déplacements - par véhicule'!$D4:$D14)*'Déplacements - par véhicule'!$O$3*'Déplacements - par véhicule'!H$3)+(SUMIF('Déplacements - par véhicule'!$I4:$I14,$A7,'Déplacements - par véhicule'!$D4:$D14)*'Déplacements - par véhicule'!$O$3*'Déplacements - par véhicule'!I$3)+(SUMIF('Déplacements - par véhicule'!$J4:$J14,$A7,'Déplacements - par véhicule'!$D4:$D14)*'Déplacements - par véhicule'!$O$3*'Déplacements - par véhicule'!J$3)+(SUMIF('Déplacements - par véhicule'!$K4:$K14,$A7,'Déplacements - par véhicule'!$D4:$D14)*'Déplacements - par véhicule'!$O$3*'Déplacements - par véhicule'!K$3)</f>
        <v>1.584</v>
      </c>
      <c r="C7" t="s" s="43">
        <v>65</v>
      </c>
      <c r="D7" s="44">
        <f>SUMIF('Déplacements - par véhicule'!$G4:$G14,$A7,'Déplacements - par véhicule'!$R4:$R14)*'Déplacements - par véhicule'!$S$3+SUMIF('Déplacements - par véhicule'!$H4:$H14,$A7,'Déplacements - par véhicule'!$R4:$R14)*'Déplacements - par véhicule'!$S$3+SUMIF('Déplacements - par véhicule'!$I4:$I14,$A7,'Déplacements - par véhicule'!$R4:$R14)*'Déplacements - par véhicule'!$S$3+SUMIF('Déplacements - par véhicule'!$J4:$J14,$A7,'Déplacements - par véhicule'!$R4:$R14)*'Déplacements - par véhicule'!$S$3+SUMIF('Déplacements - par véhicule'!$K4:$K14,$A7,'Déplacements - par véhicule'!$R4:$R14)*'Déplacements - par véhicule'!$S$3</f>
        <v>1.17</v>
      </c>
      <c r="E7" t="s" s="43">
        <v>44</v>
      </c>
      <c r="F7" s="48">
        <f>SUMIF('Déplacements - par véhicule'!$G4:$G14,$A7,'Déplacements - par véhicule'!$U4:$U14)+SUMIF('Déplacements - par véhicule'!$H4:$H14,$A7,'Déplacements - par véhicule'!$U4:$U14)+SUMIF('Déplacements - par véhicule'!$I4:$I14,$A7,'Déplacements - par véhicule'!$U4:$U14)+SUMIF('Déplacements - par véhicule'!$J4:$J14,$A7,'Déplacements - par véhicule'!$U4:$U14)+SUMIF('Déplacements - par véhicule'!$K4:$K14,$A7,'Déplacements - par véhicule'!$U4:$U14)</f>
        <v>0.2</v>
      </c>
      <c r="G7" t="s" s="43">
        <v>51</v>
      </c>
      <c r="H7" s="44">
        <f>SUMIF('Déplacements - par véhicule'!$G4:$G14,$A7,'Déplacements - par véhicule'!$AA4:$AA14)+SUMIF('Déplacements - par véhicule'!$H4:$H14,$A7,'Déplacements - par véhicule'!$AA4:$AA14)+SUMIF('Déplacements - par véhicule'!$I4:$I14,$A7,'Déplacements - par véhicule'!$AA4:$AA14)+SUMIF('Déplacements - par véhicule'!$J4:$J14,$A7,'Déplacements - par véhicule'!$AA4:$AA14)+SUMIF('Déplacements - par véhicule'!$K4:$K14,$A7,'Déplacements - par véhicule'!$AA4:$AA14)</f>
        <v>0</v>
      </c>
      <c r="I7" t="s" s="43">
        <v>66</v>
      </c>
    </row>
    <row r="8" ht="25" customHeight="1">
      <c r="A8" t="s" s="38">
        <v>70</v>
      </c>
      <c r="B8" s="45">
        <f>(SUMIF('Déplacements - par véhicule'!$G4:$G14,$A8,'Déplacements - par véhicule'!$N4:$N14)*'Déplacements - par véhicule'!$O$3*'Déplacements - par véhicule'!G$3)+(SUMIF('Déplacements - par véhicule'!$H4:$H14,$A8,'Déplacements - par véhicule'!$D4:$D14)*'Déplacements - par véhicule'!$O$3*'Déplacements - par véhicule'!H$3)+(SUMIF('Déplacements - par véhicule'!$I4:$I14,$A8,'Déplacements - par véhicule'!$D4:$D14)*'Déplacements - par véhicule'!$O$3*'Déplacements - par véhicule'!I$3)+(SUMIF('Déplacements - par véhicule'!$J4:$J14,$A8,'Déplacements - par véhicule'!$D4:$D14)*'Déplacements - par véhicule'!$O$3*'Déplacements - par véhicule'!J$3)+(SUMIF('Déplacements - par véhicule'!$K4:$K14,$A8,'Déplacements - par véhicule'!$D4:$D14)*'Déplacements - par véhicule'!$O$3*'Déplacements - par véhicule'!K$3)</f>
        <v>0</v>
      </c>
      <c r="C8" t="s" s="46">
        <v>65</v>
      </c>
      <c r="D8" s="47">
        <f>SUMIF('Déplacements - par véhicule'!$G4:$G14,$A8,'Déplacements - par véhicule'!$R4:$R14)*'Déplacements - par véhicule'!$S$3+SUMIF('Déplacements - par véhicule'!$H4:$H14,$A8,'Déplacements - par véhicule'!$R4:$R14)*'Déplacements - par véhicule'!$S$3+SUMIF('Déplacements - par véhicule'!$I4:$I14,$A8,'Déplacements - par véhicule'!$R4:$R14)*'Déplacements - par véhicule'!$S$3+SUMIF('Déplacements - par véhicule'!$J4:$J14,$A8,'Déplacements - par véhicule'!$R4:$R14)*'Déplacements - par véhicule'!$S$3+SUMIF('Déplacements - par véhicule'!$K4:$K14,$A8,'Déplacements - par véhicule'!$R4:$R14)*'Déplacements - par véhicule'!$S$3</f>
        <v>0</v>
      </c>
      <c r="E8" t="s" s="46">
        <v>44</v>
      </c>
      <c r="F8" s="49">
        <f>SUMIF('Déplacements - par véhicule'!$G4:$G14,$A8,'Déplacements - par véhicule'!$U4:$U14)+SUMIF('Déplacements - par véhicule'!$H4:$H14,$A8,'Déplacements - par véhicule'!$U4:$U14)+SUMIF('Déplacements - par véhicule'!$I4:$I14,$A8,'Déplacements - par véhicule'!$U4:$U14)+SUMIF('Déplacements - par véhicule'!$J4:$J14,$A8,'Déplacements - par véhicule'!$U4:$U14)+SUMIF('Déplacements - par véhicule'!$K4:$K14,$A8,'Déplacements - par véhicule'!$U4:$U14)</f>
        <v>0</v>
      </c>
      <c r="G8" t="s" s="46">
        <v>51</v>
      </c>
      <c r="H8" s="47">
        <f>SUMIF('Déplacements - par véhicule'!$G4:$G14,$A8,'Déplacements - par véhicule'!$AA4:$AA14)+SUMIF('Déplacements - par véhicule'!$H4:$H14,$A8,'Déplacements - par véhicule'!$AA4:$AA14)+SUMIF('Déplacements - par véhicule'!$I4:$I14,$A8,'Déplacements - par véhicule'!$AA4:$AA14)+SUMIF('Déplacements - par véhicule'!$J4:$J14,$A8,'Déplacements - par véhicule'!$AA4:$AA14)+SUMIF('Déplacements - par véhicule'!$K4:$K14,$A8,'Déplacements - par véhicule'!$AA4:$AA14)</f>
        <v>0</v>
      </c>
      <c r="I8" t="s" s="46">
        <v>66</v>
      </c>
    </row>
    <row r="9" ht="25" customHeight="1">
      <c r="A9" t="s" s="38">
        <v>71</v>
      </c>
      <c r="B9" s="42">
        <f>(SUMIF('Déplacements - par véhicule'!$G4:$G14,$A9,'Déplacements - par véhicule'!$N4:$N14)*'Déplacements - par véhicule'!$O$3*'Déplacements - par véhicule'!G$3)+(SUMIF('Déplacements - par véhicule'!$H4:$H14,$A9,'Déplacements - par véhicule'!$D4:$D14)*'Déplacements - par véhicule'!$O$3*'Déplacements - par véhicule'!H$3)+(SUMIF('Déplacements - par véhicule'!$I4:$I14,$A9,'Déplacements - par véhicule'!$D4:$D14)*'Déplacements - par véhicule'!$O$3*'Déplacements - par véhicule'!I$3)+(SUMIF('Déplacements - par véhicule'!$J4:$J14,$A9,'Déplacements - par véhicule'!$D4:$D14)*'Déplacements - par véhicule'!$O$3*'Déplacements - par véhicule'!J$3)+(SUMIF('Déplacements - par véhicule'!$K4:$K14,$A9,'Déplacements - par véhicule'!$D4:$D14)*'Déplacements - par véhicule'!$O$3*'Déplacements - par véhicule'!K$3)</f>
        <v>0</v>
      </c>
      <c r="C9" t="s" s="43">
        <v>65</v>
      </c>
      <c r="D9" s="44">
        <f>SUMIF('Déplacements - par véhicule'!$G4:$G14,$A9,'Déplacements - par véhicule'!$R4:$R14)*'Déplacements - par véhicule'!$S$3+SUMIF('Déplacements - par véhicule'!$H4:$H14,$A9,'Déplacements - par véhicule'!$R4:$R14)*'Déplacements - par véhicule'!$S$3+SUMIF('Déplacements - par véhicule'!$I4:$I14,$A9,'Déplacements - par véhicule'!$R4:$R14)*'Déplacements - par véhicule'!$S$3+SUMIF('Déplacements - par véhicule'!$J4:$J14,$A9,'Déplacements - par véhicule'!$R4:$R14)*'Déplacements - par véhicule'!$S$3+SUMIF('Déplacements - par véhicule'!$K4:$K14,$A9,'Déplacements - par véhicule'!$R4:$R14)*'Déplacements - par véhicule'!$S$3</f>
        <v>0</v>
      </c>
      <c r="E9" t="s" s="43">
        <v>44</v>
      </c>
      <c r="F9" s="48">
        <f>SUMIF('Déplacements - par véhicule'!$G4:$G14,$A9,'Déplacements - par véhicule'!$U4:$U14)+SUMIF('Déplacements - par véhicule'!$H4:$H14,$A9,'Déplacements - par véhicule'!$U4:$U14)+SUMIF('Déplacements - par véhicule'!$I4:$I14,$A9,'Déplacements - par véhicule'!$U4:$U14)+SUMIF('Déplacements - par véhicule'!$J4:$J14,$A9,'Déplacements - par véhicule'!$U4:$U14)+SUMIF('Déplacements - par véhicule'!$K4:$K14,$A9,'Déplacements - par véhicule'!$U4:$U14)</f>
        <v>0</v>
      </c>
      <c r="G9" t="s" s="43">
        <v>51</v>
      </c>
      <c r="H9" s="44">
        <f>SUMIF('Déplacements - par véhicule'!$G4:$G14,$A9,'Déplacements - par véhicule'!$AA4:$AA14)+SUMIF('Déplacements - par véhicule'!$H4:$H14,$A9,'Déplacements - par véhicule'!$AA4:$AA14)+SUMIF('Déplacements - par véhicule'!$I4:$I14,$A9,'Déplacements - par véhicule'!$AA4:$AA14)+SUMIF('Déplacements - par véhicule'!$J4:$J14,$A9,'Déplacements - par véhicule'!$AA4:$AA14)+SUMIF('Déplacements - par véhicule'!$K4:$K14,$A9,'Déplacements - par véhicule'!$AA4:$AA14)</f>
        <v>0</v>
      </c>
      <c r="I9" t="s" s="43">
        <v>66</v>
      </c>
    </row>
    <row r="10" ht="25" customHeight="1">
      <c r="A10" t="s" s="50">
        <v>72</v>
      </c>
      <c r="B10" s="51">
        <f>SUM(B4:B9)</f>
        <v>120.12</v>
      </c>
      <c r="C10" t="s" s="52">
        <v>65</v>
      </c>
      <c r="D10" s="51">
        <f>SUM(D4:D9)</f>
        <v>216.008</v>
      </c>
      <c r="E10" t="s" s="52">
        <v>44</v>
      </c>
      <c r="F10" s="53">
        <f>SUM(F4:F9)</f>
        <v>3.616666666666668</v>
      </c>
      <c r="G10" t="s" s="52">
        <v>51</v>
      </c>
      <c r="H10" s="53">
        <f>SUM(H4:H9)</f>
        <v>1.8</v>
      </c>
      <c r="I10" t="s" s="52">
        <v>66</v>
      </c>
    </row>
  </sheetData>
  <mergeCells count="1">
    <mergeCell ref="A1:I1"/>
  </mergeCells>
  <pageMargins left="0" right="0" top="0" bottom="0" header="0" footer="0"/>
  <pageSetup firstPageNumber="1" fitToHeight="1" fitToWidth="1" scale="50" useFirstPageNumber="0" orientation="landscape" pageOrder="downThenOver"/>
  <headerFooter>
    <oddFooter>&amp;"Helvetica-Light,Regular"&amp;11&amp;P</oddFooter>
  </headerFooter>
</worksheet>
</file>

<file path=xl/worksheets/sheet3.xml><?xml version="1.0" encoding="utf-8"?>
<worksheet xmlns:r="http://schemas.openxmlformats.org/officeDocument/2006/relationships" xmlns="http://schemas.openxmlformats.org/spreadsheetml/2006/main">
  <dimension ref="A2:I8"/>
  <sheetViews>
    <sheetView workbookViewId="0" showGridLines="0" defaultGridColor="1">
      <pane topLeftCell="B4" xSplit="1" ySplit="3" activePane="bottomRight" state="frozenSplit"/>
    </sheetView>
  </sheetViews>
  <sheetFormatPr defaultColWidth="11.559" defaultRowHeight="25" customHeight="1" outlineLevelRow="0" outlineLevelCol="0"/>
  <cols>
    <col min="1" max="1" width="18.1328" style="54" customWidth="1"/>
    <col min="2" max="2" width="9.42188" style="54" customWidth="1"/>
    <col min="3" max="3" width="5.5" style="54" customWidth="1"/>
    <col min="4" max="4" width="8" style="54" customWidth="1"/>
    <col min="5" max="5" width="6.875" style="54" customWidth="1"/>
    <col min="6" max="6" width="8" style="54" customWidth="1"/>
    <col min="7" max="7" width="5.5" style="54" customWidth="1"/>
    <col min="8" max="8" width="10.1406" style="54" customWidth="1"/>
    <col min="9" max="9" width="7.73438" style="54" customWidth="1"/>
    <col min="10" max="256" width="11.5859" style="54" customWidth="1"/>
  </cols>
  <sheetData>
    <row r="1">
      <c r="A1" t="s" s="7">
        <v>73</v>
      </c>
      <c r="B1"/>
      <c r="C1"/>
      <c r="D1"/>
      <c r="E1"/>
      <c r="F1"/>
      <c r="G1"/>
      <c r="H1"/>
      <c r="I1"/>
    </row>
    <row r="2" ht="42" customHeight="1">
      <c r="A2" s="32"/>
      <c r="B2" t="s" s="33">
        <v>57</v>
      </c>
      <c r="C2" s="34"/>
      <c r="D2" t="s" s="33">
        <v>58</v>
      </c>
      <c r="E2" s="34"/>
      <c r="F2" t="s" s="33">
        <v>59</v>
      </c>
      <c r="G2" s="34"/>
      <c r="H2" t="s" s="33">
        <v>60</v>
      </c>
      <c r="I2" s="34"/>
    </row>
    <row r="3" ht="25" customHeight="1">
      <c r="A3" t="s" s="35">
        <v>75</v>
      </c>
      <c r="B3" t="s" s="36">
        <v>62</v>
      </c>
      <c r="C3" t="s" s="37">
        <v>63</v>
      </c>
      <c r="D3" t="s" s="36">
        <v>62</v>
      </c>
      <c r="E3" t="s" s="37">
        <v>63</v>
      </c>
      <c r="F3" t="s" s="36">
        <v>62</v>
      </c>
      <c r="G3" t="s" s="37">
        <v>63</v>
      </c>
      <c r="H3" t="s" s="36">
        <v>62</v>
      </c>
      <c r="I3" t="s" s="37">
        <v>63</v>
      </c>
    </row>
    <row r="4" ht="25" customHeight="1">
      <c r="A4" t="s" s="10">
        <v>76</v>
      </c>
      <c r="B4" s="39">
        <f>SUMIF('Déplacements - par véhicule'!$B4:$B14,$A4,'Déplacements - par véhicule'!$O4:$O14)</f>
        <v>45.408</v>
      </c>
      <c r="C4" t="s" s="40">
        <v>65</v>
      </c>
      <c r="D4" s="41">
        <f>SUMIF('Déplacements - par véhicule'!$B4:$B14,$A4,'Déplacements - par véhicule'!$S4:$S14)</f>
        <v>55.9</v>
      </c>
      <c r="E4" t="s" s="40">
        <v>44</v>
      </c>
      <c r="F4" s="41">
        <f>SUMIF('Déplacements - par véhicule'!$B4:$B14,$A4,'Déplacements - par véhicule'!$Y4:$Y14)</f>
        <v>0.2999999999999999</v>
      </c>
      <c r="G4" t="s" s="40">
        <v>51</v>
      </c>
      <c r="H4" s="41">
        <f>SUMIF('Déplacements - par véhicule'!$B4:$B14,$A4,'Déplacements - par véhicule'!$AA4:$AA14)</f>
        <v>0</v>
      </c>
      <c r="I4" t="s" s="40">
        <v>66</v>
      </c>
    </row>
    <row r="5" ht="25" customHeight="1">
      <c r="A5" t="s" s="10">
        <v>77</v>
      </c>
      <c r="B5" s="42">
        <f>SUMIF('Déplacements - par véhicule'!$B4:$B14,$A5,'Déplacements - par véhicule'!$O4:$O14)</f>
        <v>40.65600000000001</v>
      </c>
      <c r="C5" t="s" s="43">
        <v>65</v>
      </c>
      <c r="D5" s="44">
        <f>SUMIF('Déplacements - par véhicule'!$B4:$B14,$A5,'Déplacements - par véhicule'!$S4:$S14)</f>
        <v>28.6</v>
      </c>
      <c r="E5" t="s" s="43">
        <v>44</v>
      </c>
      <c r="F5" s="44">
        <f>SUMIF('Déplacements - par véhicule'!$B4:$B14,$A5,'Déplacements - par véhicule'!$Y4:$Y14)</f>
        <v>1.5</v>
      </c>
      <c r="G5" t="s" s="43">
        <v>51</v>
      </c>
      <c r="H5" s="44">
        <f>SUMIF('Déplacements - par véhicule'!$B4:$B14,$A5,'Déplacements - par véhicule'!$AA4:$AA14)</f>
        <v>0</v>
      </c>
      <c r="I5" t="s" s="43">
        <v>66</v>
      </c>
    </row>
    <row r="6" ht="25" customHeight="1">
      <c r="A6" t="s" s="10">
        <v>78</v>
      </c>
      <c r="B6" s="45">
        <f>SUMIF('Déplacements - par véhicule'!$B4:$B14,$A6,'Déplacements - par véhicule'!$O4:$O14)</f>
        <v>25.344</v>
      </c>
      <c r="C6" t="s" s="46">
        <v>65</v>
      </c>
      <c r="D6" s="47">
        <f>SUMIF('Déplacements - par véhicule'!$B4:$B14,$A6,'Déplacements - par véhicule'!$S4:$S14)</f>
        <v>88.60800000000002</v>
      </c>
      <c r="E6" t="s" s="46">
        <v>44</v>
      </c>
      <c r="F6" s="47">
        <f>SUMIF('Déplacements - par véhicule'!$B4:$B14,$A6,'Déplacements - par véhicule'!$Y4:$Y14)</f>
        <v>1.366666666666667</v>
      </c>
      <c r="G6" t="s" s="46">
        <v>51</v>
      </c>
      <c r="H6" s="47">
        <f>SUMIF('Déplacements - par véhicule'!$B4:$B14,$A6,'Déplacements - par véhicule'!$AA4:$AA14)</f>
        <v>1.8</v>
      </c>
      <c r="I6" t="s" s="46">
        <v>66</v>
      </c>
    </row>
    <row r="7" ht="25" customHeight="1">
      <c r="A7" t="s" s="10">
        <v>79</v>
      </c>
      <c r="B7" s="42">
        <f>SUMIF('Déplacements - par véhicule'!$B4:$B14,$A7,'Déplacements - par véhicule'!$O4:$O14)</f>
        <v>8.712000000000002</v>
      </c>
      <c r="C7" t="s" s="43">
        <v>65</v>
      </c>
      <c r="D7" s="44">
        <f>SUMIF('Déplacements - par véhicule'!$B4:$B14,$A7,'Déplacements - par véhicule'!$S4:$S14)</f>
        <v>42.9</v>
      </c>
      <c r="E7" t="s" s="43">
        <v>44</v>
      </c>
      <c r="F7" s="44">
        <f>SUMIF('Déplacements - par véhicule'!$B4:$B14,$A7,'Déplacements - par véhicule'!$Y4:$Y14)</f>
        <v>0.4500000000000001</v>
      </c>
      <c r="G7" t="s" s="43">
        <v>51</v>
      </c>
      <c r="H7" s="44">
        <f>SUMIF('Déplacements - par véhicule'!$B4:$B14,$A7,'Déplacements - par véhicule'!$AA4:$AA14)</f>
        <v>0</v>
      </c>
      <c r="I7" t="s" s="43">
        <v>66</v>
      </c>
    </row>
    <row r="8" ht="25" customHeight="1">
      <c r="A8" t="s" s="50">
        <v>72</v>
      </c>
      <c r="B8" s="51">
        <f>SUM(B4:B7)</f>
        <v>120.12</v>
      </c>
      <c r="C8" t="s" s="52">
        <v>65</v>
      </c>
      <c r="D8" s="51">
        <f>SUM(D4:D7)</f>
        <v>216.008</v>
      </c>
      <c r="E8" t="s" s="52">
        <v>44</v>
      </c>
      <c r="F8" s="51">
        <f>SUM(F4:F7)</f>
        <v>3.616666666666667</v>
      </c>
      <c r="G8" t="s" s="52">
        <v>51</v>
      </c>
      <c r="H8" s="53">
        <f>SUM(H4:H7)</f>
        <v>1.8</v>
      </c>
      <c r="I8" t="s" s="52">
        <v>66</v>
      </c>
    </row>
  </sheetData>
  <mergeCells count="1">
    <mergeCell ref="A1:I1"/>
  </mergeCells>
  <pageMargins left="0" right="0" top="0" bottom="0" header="0" footer="0"/>
  <pageSetup firstPageNumber="1" fitToHeight="1" fitToWidth="1" scale="50" useFirstPageNumber="0" orientation="landscape" pageOrder="downThenOver"/>
  <headerFooter>
    <oddFooter>&amp;"Helvetica-Light,Regular"&amp;11&amp;P</oddFooter>
  </headerFooter>
</worksheet>
</file>

<file path=xl/worksheets/sheet4.xml><?xml version="1.0" encoding="utf-8"?>
<worksheet xmlns:r="http://schemas.openxmlformats.org/officeDocument/2006/relationships" xmlns="http://schemas.openxmlformats.org/spreadsheetml/2006/main">
  <dimension ref="A2:AB16"/>
  <sheetViews>
    <sheetView workbookViewId="0" showGridLines="0" defaultGridColor="1">
      <pane topLeftCell="A4" xSplit="0" ySplit="3" activePane="bottomLeft" state="frozenSplit"/>
    </sheetView>
  </sheetViews>
  <sheetFormatPr defaultColWidth="11.559" defaultRowHeight="25" customHeight="1" outlineLevelRow="0" outlineLevelCol="0"/>
  <cols>
    <col min="1" max="1" width="11.5859" style="55" customWidth="1"/>
    <col min="2" max="2" width="8.80469" style="55" customWidth="1"/>
    <col min="3" max="3" width="21.9609" style="55" customWidth="1"/>
    <col min="4" max="4" width="9.29688" style="55" customWidth="1"/>
    <col min="5" max="5" width="7.78906" style="55" customWidth="1"/>
    <col min="6" max="6" width="11.5859" style="55" customWidth="1"/>
    <col min="7" max="7" width="11.5859" style="55" customWidth="1"/>
    <col min="8" max="8" width="9.875" style="55" customWidth="1"/>
    <col min="9" max="9" width="8.875" style="55" customWidth="1"/>
    <col min="10" max="10" width="8.875" style="55" customWidth="1"/>
    <col min="11" max="11" width="9.69531" style="55" customWidth="1"/>
    <col min="12" max="12" width="11.5859" style="55" customWidth="1"/>
    <col min="13" max="13" width="11.5859" style="55" customWidth="1"/>
    <col min="14" max="14" width="11.5859" style="55" customWidth="1"/>
    <col min="15" max="15" width="13.625" style="55" customWidth="1"/>
    <col min="16" max="16" width="6.16406" style="55" customWidth="1"/>
    <col min="17" max="17" width="13.625" style="55" customWidth="1"/>
    <col min="18" max="18" width="13.625" style="55" customWidth="1"/>
    <col min="19" max="19" width="11.5859" style="55" customWidth="1"/>
    <col min="20" max="20" width="10.9141" style="55" customWidth="1"/>
    <col min="21" max="21" width="11.5859" style="55" customWidth="1"/>
    <col min="22" max="22" width="11.5859" style="55" customWidth="1"/>
    <col min="23" max="23" width="11.5859" style="55" customWidth="1"/>
    <col min="24" max="24" width="11.5859" style="55" customWidth="1"/>
    <col min="25" max="25" width="11.5859" style="55" customWidth="1"/>
    <col min="26" max="26" width="7" style="55" customWidth="1"/>
    <col min="27" max="27" width="10.6406" style="55" customWidth="1"/>
    <col min="28" max="28" width="10.25" style="55" customWidth="1"/>
    <col min="29" max="256" width="11.5859" style="55" customWidth="1"/>
  </cols>
  <sheetData>
    <row r="1">
      <c r="A1" t="s" s="7">
        <v>80</v>
      </c>
      <c r="B1"/>
      <c r="C1"/>
      <c r="D1"/>
      <c r="E1"/>
      <c r="F1"/>
      <c r="G1"/>
      <c r="H1"/>
      <c r="I1"/>
      <c r="J1"/>
      <c r="K1"/>
      <c r="L1"/>
      <c r="M1"/>
      <c r="N1"/>
      <c r="O1"/>
      <c r="P1"/>
      <c r="Q1"/>
      <c r="R1"/>
      <c r="S1"/>
      <c r="T1"/>
      <c r="U1"/>
      <c r="V1"/>
      <c r="W1"/>
      <c r="X1"/>
      <c r="Y1"/>
      <c r="Z1"/>
      <c r="AA1"/>
      <c r="AB1"/>
    </row>
    <row r="2" ht="60" customHeight="1">
      <c r="A2" t="s" s="56">
        <v>82</v>
      </c>
      <c r="B2" t="s" s="56">
        <v>83</v>
      </c>
      <c r="C2" t="s" s="56">
        <v>84</v>
      </c>
      <c r="D2" t="s" s="56">
        <v>85</v>
      </c>
      <c r="E2" t="s" s="56">
        <v>86</v>
      </c>
      <c r="F2" t="s" s="56">
        <v>87</v>
      </c>
      <c r="G2" t="s" s="56">
        <v>88</v>
      </c>
      <c r="H2" t="s" s="56">
        <v>89</v>
      </c>
      <c r="I2" t="s" s="56">
        <v>90</v>
      </c>
      <c r="J2" t="s" s="56">
        <v>91</v>
      </c>
      <c r="K2" t="s" s="56">
        <v>92</v>
      </c>
      <c r="L2" t="s" s="57">
        <v>93</v>
      </c>
      <c r="M2" t="s" s="58">
        <v>94</v>
      </c>
      <c r="N2" t="s" s="57">
        <v>95</v>
      </c>
      <c r="O2" t="s" s="59">
        <v>96</v>
      </c>
      <c r="P2" s="60"/>
      <c r="Q2" t="s" s="58">
        <v>97</v>
      </c>
      <c r="R2" t="s" s="57">
        <v>98</v>
      </c>
      <c r="S2" t="s" s="59">
        <v>99</v>
      </c>
      <c r="T2" s="60"/>
      <c r="U2" t="s" s="58">
        <v>100</v>
      </c>
      <c r="V2" t="s" s="57">
        <v>101</v>
      </c>
      <c r="W2" t="s" s="61">
        <v>102</v>
      </c>
      <c r="X2" t="s" s="62">
        <v>103</v>
      </c>
      <c r="Y2" t="s" s="60">
        <v>104</v>
      </c>
      <c r="Z2" t="s" s="63">
        <v>105</v>
      </c>
      <c r="AA2" t="s" s="59">
        <v>60</v>
      </c>
      <c r="AB2" s="64"/>
    </row>
    <row r="3" ht="42" customHeight="1">
      <c r="A3" s="65"/>
      <c r="B3" s="65"/>
      <c r="C3" s="65"/>
      <c r="D3" t="s" s="35">
        <v>106</v>
      </c>
      <c r="E3" t="s" s="35">
        <v>107</v>
      </c>
      <c r="F3" s="66"/>
      <c r="G3" s="67">
        <v>0.33</v>
      </c>
      <c r="H3" s="67">
        <v>0.66</v>
      </c>
      <c r="I3" s="67">
        <v>0.66</v>
      </c>
      <c r="J3" s="67">
        <v>0.66</v>
      </c>
      <c r="K3" s="67">
        <v>0.66</v>
      </c>
      <c r="L3" t="s" s="68">
        <v>49</v>
      </c>
      <c r="M3" s="69"/>
      <c r="N3" t="s" s="68">
        <v>106</v>
      </c>
      <c r="O3" t="s" s="70">
        <v>108</v>
      </c>
      <c r="P3" t="s" s="71">
        <v>109</v>
      </c>
      <c r="Q3" s="69"/>
      <c r="R3" t="s" s="68">
        <v>110</v>
      </c>
      <c r="S3" t="s" s="70">
        <v>111</v>
      </c>
      <c r="T3" t="s" s="71">
        <v>112</v>
      </c>
      <c r="U3" t="s" s="72">
        <v>51</v>
      </c>
      <c r="V3" t="s" s="68">
        <v>113</v>
      </c>
      <c r="W3" t="s" s="72">
        <v>51</v>
      </c>
      <c r="X3" t="s" s="35">
        <v>51</v>
      </c>
      <c r="Y3" t="s" s="68">
        <v>51</v>
      </c>
      <c r="Z3" t="s" s="73">
        <v>106</v>
      </c>
      <c r="AA3" s="70">
        <v>0.1</v>
      </c>
      <c r="AB3" t="s" s="71">
        <v>114</v>
      </c>
    </row>
    <row r="4" ht="25" customHeight="1">
      <c r="A4" s="74">
        <v>40072</v>
      </c>
      <c r="B4" t="s" s="75">
        <v>76</v>
      </c>
      <c r="C4" t="s" s="75">
        <v>115</v>
      </c>
      <c r="D4" s="76">
        <f>2*43</f>
        <v>86</v>
      </c>
      <c r="E4" s="77">
        <v>0.75</v>
      </c>
      <c r="F4" t="s" s="75">
        <v>116</v>
      </c>
      <c r="G4" t="s" s="75">
        <v>64</v>
      </c>
      <c r="H4" t="s" s="75">
        <v>67</v>
      </c>
      <c r="I4" s="75"/>
      <c r="J4" s="75"/>
      <c r="K4" s="75"/>
      <c r="L4" s="78">
        <v>3</v>
      </c>
      <c r="M4" s="79">
        <f>COUNTA($G4:$K4)</f>
        <v>2</v>
      </c>
      <c r="N4" s="80">
        <f>$M4*$D4</f>
        <v>172</v>
      </c>
      <c r="O4" s="81">
        <f>O$3*$D4*(NOT(ISBLANK($G4))*$G$3*$M4+NOT(ISBLANK($H4))*$H$3+NOT(ISBLANK($I4))*$I$3+NOT(ISBLANK($J4))*$J$3+NOT(ISBLANK($K4))*$K$3)</f>
        <v>45.408</v>
      </c>
      <c r="P4" t="s" s="82">
        <v>65</v>
      </c>
      <c r="Q4" t="s" s="79">
        <f>IF(LEFT(F4,1)="*",MID(F4,2,SEARCH(" ",F4,1)-2)*COUNTA(H4:K4),IFERROR(LEFT(F4,SEARCH(" ",F4,1)-1),1))</f>
        <v>117</v>
      </c>
      <c r="R4" s="83">
        <f>($D4*$Q4)/$M4</f>
        <v>43</v>
      </c>
      <c r="S4" s="81">
        <f>$S$3*$M4*$R4</f>
        <v>55.9</v>
      </c>
      <c r="T4" t="s" s="82">
        <v>44</v>
      </c>
      <c r="U4" s="84">
        <f>E4*(L4/5-0.5)*2</f>
        <v>0.15</v>
      </c>
      <c r="V4" s="83">
        <f>$M4*$E4</f>
        <v>1.5</v>
      </c>
      <c r="W4" s="84">
        <f>IF($U4&gt;0,$U4*$M4)</f>
        <v>0.2999999999999999</v>
      </c>
      <c r="X4" s="85">
        <f>IF($U4&lt;=0,$U4*$M4)</f>
        <v>0</v>
      </c>
      <c r="Y4" s="86">
        <f>$U4*$M4</f>
        <v>0.2999999999999999</v>
      </c>
      <c r="Z4" s="87">
        <f>IF(LEFT(F4,1)="*",$D4,0)</f>
        <v>0</v>
      </c>
      <c r="AA4" s="88">
        <f>$Z4*$AA$3</f>
        <v>0</v>
      </c>
      <c r="AB4" t="s" s="82">
        <v>66</v>
      </c>
    </row>
    <row r="5" ht="25" customHeight="1">
      <c r="A5" s="89">
        <v>40072</v>
      </c>
      <c r="B5" t="s" s="20">
        <v>77</v>
      </c>
      <c r="C5" t="s" s="20">
        <v>118</v>
      </c>
      <c r="D5" s="90">
        <f>2*22</f>
        <v>44</v>
      </c>
      <c r="E5" s="91">
        <v>0.8333333333333334</v>
      </c>
      <c r="F5" s="20"/>
      <c r="G5" t="s" s="20">
        <v>64</v>
      </c>
      <c r="H5" t="s" s="20">
        <v>68</v>
      </c>
      <c r="I5" t="s" s="20">
        <v>67</v>
      </c>
      <c r="J5" s="20"/>
      <c r="K5" s="20"/>
      <c r="L5" s="92">
        <v>4</v>
      </c>
      <c r="M5" s="93">
        <f>COUNTA($G5:$K5)</f>
        <v>3</v>
      </c>
      <c r="N5" s="94">
        <f>$M5*$D5</f>
        <v>132</v>
      </c>
      <c r="O5" s="95">
        <f>O$3*$D5*(NOT(ISBLANK($G5))*$G$3*$M5+NOT(ISBLANK($H5))*$H$3+NOT(ISBLANK($I5))*$I$3+NOT(ISBLANK($J5))*$J$3+NOT(ISBLANK($K5))*$K$3)</f>
        <v>40.65600000000001</v>
      </c>
      <c r="P5" t="s" s="96">
        <v>65</v>
      </c>
      <c r="Q5" s="97">
        <f>IF(LEFT(F5,1)="*",MID(F5,2,SEARCH(" ",F5,1)-2)*COUNTA(H5:K5),IFERROR(LEFT(F5,SEARCH(" ",F5,1)-1),1))</f>
        <v>1</v>
      </c>
      <c r="R5" s="98">
        <f>($D5*$Q5)/$M5</f>
        <v>14.66666666666667</v>
      </c>
      <c r="S5" s="95">
        <f>$S$3*$M5*$R5</f>
        <v>28.6</v>
      </c>
      <c r="T5" t="s" s="96">
        <v>44</v>
      </c>
      <c r="U5" s="99">
        <f>E5*(L5/5-0.5)*2</f>
        <v>0.5000000000000001</v>
      </c>
      <c r="V5" s="98">
        <f>$M5*$E5</f>
        <v>2.5</v>
      </c>
      <c r="W5" s="99">
        <f>IF($U5&gt;0,$U5*$M5)</f>
        <v>1.5</v>
      </c>
      <c r="X5" s="100">
        <f>IF($U5&lt;=0,$U5*$M5)</f>
        <v>0</v>
      </c>
      <c r="Y5" s="101">
        <f>$U5*$M5</f>
        <v>1.5</v>
      </c>
      <c r="Z5" s="102">
        <f>IF(LEFT(F5,1)="*",$D5,0)</f>
        <v>0</v>
      </c>
      <c r="AA5" s="103">
        <f>$Z5*$AA$3</f>
        <v>0</v>
      </c>
      <c r="AB5" t="s" s="96">
        <v>66</v>
      </c>
    </row>
    <row r="6" ht="25" customHeight="1">
      <c r="A6" s="104">
        <v>40111</v>
      </c>
      <c r="B6" t="s" s="18">
        <v>78</v>
      </c>
      <c r="C6" t="s" s="18">
        <v>119</v>
      </c>
      <c r="D6" s="105">
        <v>33</v>
      </c>
      <c r="E6" s="106">
        <v>0.6666666666666666</v>
      </c>
      <c r="F6" s="18"/>
      <c r="G6" t="s" s="18">
        <v>68</v>
      </c>
      <c r="H6" s="18"/>
      <c r="I6" s="18"/>
      <c r="J6" s="18"/>
      <c r="K6" s="18"/>
      <c r="L6" s="107">
        <v>3</v>
      </c>
      <c r="M6" s="108">
        <f>COUNTA($G6:$K6)</f>
        <v>1</v>
      </c>
      <c r="N6" s="109">
        <f>$M6*$D6</f>
        <v>33</v>
      </c>
      <c r="O6" s="110">
        <f>O$3*$D6*(NOT(ISBLANK($G6))*$G$3*$M6+NOT(ISBLANK($H6))*$H$3+NOT(ISBLANK($I6))*$I$3+NOT(ISBLANK($J6))*$J$3+NOT(ISBLANK($K6))*$K$3)</f>
        <v>4.356000000000001</v>
      </c>
      <c r="P6" t="s" s="111">
        <v>65</v>
      </c>
      <c r="Q6" s="112">
        <f>IF(LEFT(F6,1)="*",MID(F6,2,SEARCH(" ",F6,1)-2)*COUNTA(H6:K6),IFERROR(LEFT(F6,SEARCH(" ",F6,1)-1),1))</f>
        <v>1</v>
      </c>
      <c r="R6" s="113">
        <f>($D6*$Q6)/$M6</f>
        <v>33</v>
      </c>
      <c r="S6" s="110">
        <f>$S$3*$M6*$R6</f>
        <v>21.45</v>
      </c>
      <c r="T6" t="s" s="111">
        <v>44</v>
      </c>
      <c r="U6" s="114">
        <f>E6*(L6/5-0.5)*2</f>
        <v>0.1333333333333333</v>
      </c>
      <c r="V6" s="113">
        <f>$M6*$E6</f>
        <v>0.6666666666666666</v>
      </c>
      <c r="W6" s="114">
        <f>IF($U6&gt;0,$U6*$M6)</f>
        <v>0.1333333333333333</v>
      </c>
      <c r="X6" s="115">
        <f>IF($U6&lt;=0,$U6*$M6)</f>
        <v>0</v>
      </c>
      <c r="Y6" s="116">
        <f>$U6*$M6</f>
        <v>0.1333333333333333</v>
      </c>
      <c r="Z6" s="117">
        <f>IF(LEFT(F6,1)="*",$D6,0)</f>
        <v>0</v>
      </c>
      <c r="AA6" s="118">
        <f>$Z6*$AA$3</f>
        <v>0</v>
      </c>
      <c r="AB6" t="s" s="111">
        <v>66</v>
      </c>
    </row>
    <row r="7" ht="25" customHeight="1">
      <c r="A7" s="89">
        <v>40111</v>
      </c>
      <c r="B7" t="s" s="20">
        <v>78</v>
      </c>
      <c r="C7" t="s" s="20">
        <v>120</v>
      </c>
      <c r="D7" s="90">
        <v>6</v>
      </c>
      <c r="E7" s="91">
        <v>0.5</v>
      </c>
      <c r="F7" t="s" s="20">
        <v>121</v>
      </c>
      <c r="G7" s="20"/>
      <c r="H7" t="s" s="20">
        <v>68</v>
      </c>
      <c r="I7" s="20"/>
      <c r="J7" s="20"/>
      <c r="K7" s="20"/>
      <c r="L7" s="92">
        <v>3</v>
      </c>
      <c r="M7" s="93">
        <f>COUNTA($G7:$K7)</f>
        <v>1</v>
      </c>
      <c r="N7" s="94">
        <f>$M7*$D7</f>
        <v>6</v>
      </c>
      <c r="O7" s="95">
        <f>O$3*$D7*(NOT(ISBLANK($G7))*$G$3*$M7+NOT(ISBLANK($H7))*$H$3+NOT(ISBLANK($I7))*$I$3+NOT(ISBLANK($J7))*$J$3+NOT(ISBLANK($K7))*$K$3)</f>
        <v>1.584</v>
      </c>
      <c r="P7" t="s" s="96">
        <v>65</v>
      </c>
      <c r="Q7" s="97">
        <f>IF(LEFT(F7,1)="*",MID(F7,2,SEARCH(" ",F7,1)-2)*COUNTA(H7:K7),IFERROR(LEFT(F7,SEARCH(" ",F7,1)-1),1))</f>
        <v>0.04</v>
      </c>
      <c r="R7" s="98">
        <f>($D7*$Q7)/$M7</f>
        <v>0.24</v>
      </c>
      <c r="S7" s="95">
        <f>$S$3*$M7*$R7</f>
        <v>0.156</v>
      </c>
      <c r="T7" t="s" s="96">
        <v>44</v>
      </c>
      <c r="U7" s="99">
        <f>E7*(L7/5-0.5)*2</f>
        <v>0.09999999999999998</v>
      </c>
      <c r="V7" s="98">
        <f>$M7*$E7</f>
        <v>0.5</v>
      </c>
      <c r="W7" s="99">
        <f>IF($U7&gt;0,$U7*$M7)</f>
        <v>0.09999999999999998</v>
      </c>
      <c r="X7" s="100">
        <f>IF($U7&lt;=0,$U7*$M7)</f>
        <v>0</v>
      </c>
      <c r="Y7" s="101">
        <f>$U7*$M7</f>
        <v>0.09999999999999998</v>
      </c>
      <c r="Z7" s="102">
        <f>IF(LEFT(F7,1)="*",$D7,0)</f>
        <v>6</v>
      </c>
      <c r="AA7" s="103">
        <f>$Z7*$AA$3</f>
        <v>0.6000000000000001</v>
      </c>
      <c r="AB7" t="s" s="96">
        <v>66</v>
      </c>
    </row>
    <row r="8" ht="25" customHeight="1">
      <c r="A8" s="104">
        <v>40111</v>
      </c>
      <c r="B8" t="s" s="18">
        <v>78</v>
      </c>
      <c r="C8" t="s" s="18">
        <v>122</v>
      </c>
      <c r="D8" s="105">
        <v>6</v>
      </c>
      <c r="E8" s="106">
        <v>0.3333333333333333</v>
      </c>
      <c r="F8" t="s" s="18">
        <v>123</v>
      </c>
      <c r="G8" t="s" s="18">
        <v>69</v>
      </c>
      <c r="H8" t="s" s="18">
        <v>68</v>
      </c>
      <c r="I8" s="18"/>
      <c r="J8" s="18"/>
      <c r="K8" s="18"/>
      <c r="L8" s="107">
        <v>4</v>
      </c>
      <c r="M8" s="108">
        <f>COUNTA($G8:$K8)</f>
        <v>2</v>
      </c>
      <c r="N8" s="109">
        <f>$M8*$D8</f>
        <v>12</v>
      </c>
      <c r="O8" s="110">
        <f>O$3*$D8*(NOT(ISBLANK($G8))*$G$3*$M8+NOT(ISBLANK($H8))*$H$3+NOT(ISBLANK($I8))*$I$3+NOT(ISBLANK($J8))*$J$3+NOT(ISBLANK($K8))*$K$3)</f>
        <v>3.168000000000001</v>
      </c>
      <c r="P8" t="s" s="111">
        <v>65</v>
      </c>
      <c r="Q8" t="s" s="108">
        <f>IF(LEFT(F8,1)="*",MID(F8,2,SEARCH(" ",F8,1)-2)*COUNTA(H8:K8),IFERROR(LEFT(F8,SEARCH(" ",F8,1)-1),1))</f>
        <v>124</v>
      </c>
      <c r="R8" s="113">
        <f>($D8*$Q8)/$M8</f>
        <v>1.8</v>
      </c>
      <c r="S8" s="110">
        <f>$S$3*$M8*$R8</f>
        <v>2.34</v>
      </c>
      <c r="T8" t="s" s="111">
        <v>44</v>
      </c>
      <c r="U8" s="114">
        <f>E8*(L8/5-0.5)*2</f>
        <v>0.2</v>
      </c>
      <c r="V8" s="113">
        <f>$M8*$E8</f>
        <v>0.6666666666666666</v>
      </c>
      <c r="W8" s="114">
        <f>IF($U8&gt;0,$U8*$M8)</f>
        <v>0.4</v>
      </c>
      <c r="X8" s="115">
        <f>IF($U8&lt;=0,$U8*$M8)</f>
        <v>0</v>
      </c>
      <c r="Y8" s="116">
        <f>$U8*$M8</f>
        <v>0.4</v>
      </c>
      <c r="Z8" s="117">
        <f>IF(LEFT(F8,1)="*",$D8,0)</f>
        <v>0</v>
      </c>
      <c r="AA8" s="118">
        <f>$Z8*$AA$3</f>
        <v>0</v>
      </c>
      <c r="AB8" t="s" s="111">
        <v>66</v>
      </c>
    </row>
    <row r="9" ht="25" customHeight="1">
      <c r="A9" s="89">
        <v>40111</v>
      </c>
      <c r="B9" t="s" s="20">
        <v>78</v>
      </c>
      <c r="C9" t="s" s="20">
        <v>125</v>
      </c>
      <c r="D9" s="90">
        <v>33</v>
      </c>
      <c r="E9" s="91">
        <v>0.75</v>
      </c>
      <c r="F9" s="20"/>
      <c r="G9" t="s" s="20">
        <v>68</v>
      </c>
      <c r="H9" s="20"/>
      <c r="I9" s="20"/>
      <c r="J9" s="20"/>
      <c r="K9" s="20"/>
      <c r="L9" s="92">
        <v>2</v>
      </c>
      <c r="M9" s="93">
        <f>COUNTA($G9:$K9)</f>
        <v>1</v>
      </c>
      <c r="N9" s="94">
        <f>$M9*$D9</f>
        <v>33</v>
      </c>
      <c r="O9" s="95">
        <f>O$3*$D9*(NOT(ISBLANK($G9))*$G$3*$M9+NOT(ISBLANK($H9))*$H$3+NOT(ISBLANK($I9))*$I$3+NOT(ISBLANK($J9))*$J$3+NOT(ISBLANK($K9))*$K$3)</f>
        <v>4.356000000000001</v>
      </c>
      <c r="P9" t="s" s="96">
        <v>65</v>
      </c>
      <c r="Q9" s="97">
        <f>IF(LEFT(F9,1)="*",MID(F9,2,SEARCH(" ",F9,1)-2)*COUNTA(H9:K9),IFERROR(LEFT(F9,SEARCH(" ",F9,1)-1),1))</f>
        <v>1</v>
      </c>
      <c r="R9" s="98">
        <f>($D9*$Q9)/$M9</f>
        <v>33</v>
      </c>
      <c r="S9" s="95">
        <f>$S$3*$M9*$R9</f>
        <v>21.45</v>
      </c>
      <c r="T9" t="s" s="96">
        <v>44</v>
      </c>
      <c r="U9" s="99">
        <f>E9*(L9/5-0.5)*2</f>
        <v>-0.15</v>
      </c>
      <c r="V9" s="98">
        <f>$M9*$E9</f>
        <v>0.75</v>
      </c>
      <c r="W9" s="99">
        <f>IF($U9&gt;0,$U9*$M9)</f>
        <v>0</v>
      </c>
      <c r="X9" s="100">
        <f>IF($U9&lt;=0,$U9*$M9)</f>
        <v>-0.15</v>
      </c>
      <c r="Y9" s="101">
        <f>$U9*$M9</f>
        <v>-0.15</v>
      </c>
      <c r="Z9" s="102">
        <f>IF(LEFT(F9,1)="*",$D9,0)</f>
        <v>0</v>
      </c>
      <c r="AA9" s="103">
        <f>$Z9*$AA$3</f>
        <v>0</v>
      </c>
      <c r="AB9" t="s" s="96">
        <v>66</v>
      </c>
    </row>
    <row r="10" ht="25" customHeight="1">
      <c r="A10" s="104">
        <v>40112</v>
      </c>
      <c r="B10" t="s" s="18">
        <v>78</v>
      </c>
      <c r="C10" t="s" s="18">
        <v>119</v>
      </c>
      <c r="D10" s="105">
        <v>33</v>
      </c>
      <c r="E10" s="106">
        <v>0.666666666666667</v>
      </c>
      <c r="F10" s="18"/>
      <c r="G10" t="s" s="18">
        <v>68</v>
      </c>
      <c r="H10" s="18"/>
      <c r="I10" s="18"/>
      <c r="J10" s="18"/>
      <c r="K10" s="18"/>
      <c r="L10" s="107">
        <v>3</v>
      </c>
      <c r="M10" s="108">
        <f>COUNTA($G10:$K10)</f>
        <v>1</v>
      </c>
      <c r="N10" s="109">
        <f>$M10*$D10</f>
        <v>33</v>
      </c>
      <c r="O10" s="110">
        <f>O$3*$D10*(NOT(ISBLANK($G10))*$G$3*$M10+NOT(ISBLANK($H10))*$H$3+NOT(ISBLANK($I10))*$I$3+NOT(ISBLANK($J10))*$J$3+NOT(ISBLANK($K10))*$K$3)</f>
        <v>4.356000000000001</v>
      </c>
      <c r="P10" t="s" s="111">
        <v>65</v>
      </c>
      <c r="Q10" s="112">
        <f>IF(LEFT(F10,1)="*",MID(F10,2,SEARCH(" ",F10,1)-2)*COUNTA(H10:K10),IFERROR(LEFT(F10,SEARCH(" ",F10,1)-1),1))</f>
        <v>1</v>
      </c>
      <c r="R10" s="113">
        <f>($D10*$Q10)/$M10</f>
        <v>33</v>
      </c>
      <c r="S10" s="110">
        <f>$S$3*$M10*$R10</f>
        <v>21.45</v>
      </c>
      <c r="T10" t="s" s="111">
        <v>44</v>
      </c>
      <c r="U10" s="114">
        <f>E10*(L10/5-0.5)*2</f>
        <v>0.1333333333333334</v>
      </c>
      <c r="V10" s="113">
        <f>$M10*$E10</f>
        <v>0.666666666666667</v>
      </c>
      <c r="W10" s="114">
        <f>IF($U10&gt;0,$U10*$M10)</f>
        <v>0.1333333333333334</v>
      </c>
      <c r="X10" s="115">
        <f>IF($U10&lt;=0,$U10*$M10)</f>
        <v>0</v>
      </c>
      <c r="Y10" s="116">
        <f>$U10*$M10</f>
        <v>0.1333333333333334</v>
      </c>
      <c r="Z10" s="117">
        <f>IF(LEFT(F10,1)="*",$D10,0)</f>
        <v>0</v>
      </c>
      <c r="AA10" s="118">
        <f>$Z10*$AA$3</f>
        <v>0</v>
      </c>
      <c r="AB10" t="s" s="111">
        <v>66</v>
      </c>
    </row>
    <row r="11" ht="25" customHeight="1">
      <c r="A11" s="89">
        <v>40112</v>
      </c>
      <c r="B11" t="s" s="20">
        <v>78</v>
      </c>
      <c r="C11" t="s" s="20">
        <v>120</v>
      </c>
      <c r="D11" s="90">
        <v>6</v>
      </c>
      <c r="E11" s="91">
        <v>0.5</v>
      </c>
      <c r="F11" t="s" s="20">
        <v>121</v>
      </c>
      <c r="G11" s="20"/>
      <c r="H11" t="s" s="20">
        <v>68</v>
      </c>
      <c r="I11" s="20"/>
      <c r="J11" s="20"/>
      <c r="K11" s="20"/>
      <c r="L11" s="92">
        <v>3</v>
      </c>
      <c r="M11" s="93">
        <f>COUNTA($G11:$K11)</f>
        <v>1</v>
      </c>
      <c r="N11" s="94">
        <f>$M11*$D11</f>
        <v>6</v>
      </c>
      <c r="O11" s="95">
        <f>O$3*$D11*(NOT(ISBLANK($G11))*$G$3*$M11+NOT(ISBLANK($H11))*$H$3+NOT(ISBLANK($I11))*$I$3+NOT(ISBLANK($J11))*$J$3+NOT(ISBLANK($K11))*$K$3)</f>
        <v>1.584</v>
      </c>
      <c r="P11" t="s" s="96">
        <v>65</v>
      </c>
      <c r="Q11" s="97">
        <f>IF(LEFT(F11,1)="*",MID(F11,2,SEARCH(" ",F11,1)-2)*COUNTA(H11:K11),IFERROR(LEFT(F11,SEARCH(" ",F11,1)-1),1))</f>
        <v>0.04</v>
      </c>
      <c r="R11" s="98">
        <f>($D11*$Q11)/$M11</f>
        <v>0.24</v>
      </c>
      <c r="S11" s="95">
        <f>$S$3*$M11*$R11</f>
        <v>0.156</v>
      </c>
      <c r="T11" t="s" s="96">
        <v>44</v>
      </c>
      <c r="U11" s="99">
        <f>E11*(L11/5-0.5)*2</f>
        <v>0.09999999999999998</v>
      </c>
      <c r="V11" s="98">
        <f>$M11*$E11</f>
        <v>0.5</v>
      </c>
      <c r="W11" s="99">
        <f>IF($U11&gt;0,$U11*$M11)</f>
        <v>0.09999999999999998</v>
      </c>
      <c r="X11" s="100">
        <f>IF($U11&lt;=0,$U11*$M11)</f>
        <v>0</v>
      </c>
      <c r="Y11" s="101">
        <f>$U11*$M11</f>
        <v>0.09999999999999998</v>
      </c>
      <c r="Z11" s="102">
        <f>IF(LEFT(F11,1)="*",$D11,0)</f>
        <v>6</v>
      </c>
      <c r="AA11" s="103">
        <f>$Z11*$AA$3</f>
        <v>0.6000000000000001</v>
      </c>
      <c r="AB11" t="s" s="96">
        <v>66</v>
      </c>
    </row>
    <row r="12" ht="25" customHeight="1">
      <c r="A12" s="104">
        <v>40112</v>
      </c>
      <c r="B12" t="s" s="18">
        <v>78</v>
      </c>
      <c r="C12" t="s" s="18">
        <v>122</v>
      </c>
      <c r="D12" s="105">
        <v>6</v>
      </c>
      <c r="E12" s="106">
        <v>0.3333333333333333</v>
      </c>
      <c r="F12" t="s" s="18">
        <v>121</v>
      </c>
      <c r="G12" s="18"/>
      <c r="H12" t="s" s="18">
        <v>68</v>
      </c>
      <c r="I12" s="18"/>
      <c r="J12" s="18"/>
      <c r="K12" s="18"/>
      <c r="L12" s="107">
        <v>4</v>
      </c>
      <c r="M12" s="108">
        <f>COUNTA($G12:$K12)</f>
        <v>1</v>
      </c>
      <c r="N12" s="109">
        <f>$M12*$D12</f>
        <v>6</v>
      </c>
      <c r="O12" s="110">
        <f>O$3*$D12*(NOT(ISBLANK($G12))*$G$3*$M12+NOT(ISBLANK($H12))*$H$3+NOT(ISBLANK($I12))*$I$3+NOT(ISBLANK($J12))*$J$3+NOT(ISBLANK($K12))*$K$3)</f>
        <v>1.584</v>
      </c>
      <c r="P12" t="s" s="111">
        <v>65</v>
      </c>
      <c r="Q12" s="112">
        <f>IF(LEFT(F12,1)="*",MID(F12,2,SEARCH(" ",F12,1)-2)*COUNTA(H12:K12),IFERROR(LEFT(F12,SEARCH(" ",F12,1)-1),1))</f>
        <v>0.04</v>
      </c>
      <c r="R12" s="113">
        <f>($D12*$Q12)/$M12</f>
        <v>0.24</v>
      </c>
      <c r="S12" s="110">
        <f>$S$3*$M12*$R12</f>
        <v>0.156</v>
      </c>
      <c r="T12" t="s" s="111">
        <v>44</v>
      </c>
      <c r="U12" s="114">
        <f>E12*(L12/5-0.5)*2</f>
        <v>0.2</v>
      </c>
      <c r="V12" s="113">
        <f>$M12*$E12</f>
        <v>0.3333333333333333</v>
      </c>
      <c r="W12" s="114">
        <f>IF($U12&gt;0,$U12*$M12)</f>
        <v>0.2</v>
      </c>
      <c r="X12" s="115">
        <f>IF($U12&lt;=0,$U12*$M12)</f>
        <v>0</v>
      </c>
      <c r="Y12" s="116">
        <f>$U12*$M12</f>
        <v>0.2</v>
      </c>
      <c r="Z12" s="117">
        <f>IF(LEFT(F12,1)="*",$D12,0)</f>
        <v>6</v>
      </c>
      <c r="AA12" s="118">
        <f>$Z12*$AA$3</f>
        <v>0.6000000000000001</v>
      </c>
      <c r="AB12" t="s" s="111">
        <v>66</v>
      </c>
    </row>
    <row r="13" ht="25" customHeight="1">
      <c r="A13" s="89">
        <v>40112</v>
      </c>
      <c r="B13" t="s" s="20">
        <v>78</v>
      </c>
      <c r="C13" t="s" s="20">
        <v>126</v>
      </c>
      <c r="D13" s="90">
        <v>33</v>
      </c>
      <c r="E13" s="91">
        <v>0.75</v>
      </c>
      <c r="F13" s="20"/>
      <c r="G13" t="s" s="20">
        <v>68</v>
      </c>
      <c r="H13" s="20"/>
      <c r="I13" s="20"/>
      <c r="J13" s="20"/>
      <c r="K13" s="20"/>
      <c r="L13" s="92">
        <v>4</v>
      </c>
      <c r="M13" s="93">
        <f>COUNTA($G13:$K13)</f>
        <v>1</v>
      </c>
      <c r="N13" s="94">
        <f>$M13*$D13</f>
        <v>33</v>
      </c>
      <c r="O13" s="95">
        <f>O$3*$D13*(NOT(ISBLANK($G13))*$G$3*$M13+NOT(ISBLANK($H13))*$H$3+NOT(ISBLANK($I13))*$I$3+NOT(ISBLANK($J13))*$J$3+NOT(ISBLANK($K13))*$K$3)</f>
        <v>4.356000000000001</v>
      </c>
      <c r="P13" t="s" s="96">
        <v>65</v>
      </c>
      <c r="Q13" s="97">
        <f>IF(LEFT(F13,1)="*",MID(F13,2,SEARCH(" ",F13,1)-2)*COUNTA(H13:K13),IFERROR(LEFT(F13,SEARCH(" ",F13,1)-1),1))</f>
        <v>1</v>
      </c>
      <c r="R13" s="98">
        <f>($D13*$Q13)/$M13</f>
        <v>33</v>
      </c>
      <c r="S13" s="95">
        <f>$S$3*$M13*$R13</f>
        <v>21.45</v>
      </c>
      <c r="T13" t="s" s="96">
        <v>44</v>
      </c>
      <c r="U13" s="99">
        <f>E13*(L13/5-0.5)*2</f>
        <v>0.4500000000000001</v>
      </c>
      <c r="V13" s="98">
        <f>$M13*$E13</f>
        <v>0.75</v>
      </c>
      <c r="W13" s="99">
        <f>IF($U13&gt;0,$U13*$M13)</f>
        <v>0.4500000000000001</v>
      </c>
      <c r="X13" s="100">
        <f>IF($U13&lt;=0,$U13*$M13)</f>
        <v>0</v>
      </c>
      <c r="Y13" s="101">
        <f>$U13*$M13</f>
        <v>0.4500000000000001</v>
      </c>
      <c r="Z13" s="102">
        <f>IF(LEFT(F13,1)="*",$D13,0)</f>
        <v>0</v>
      </c>
      <c r="AA13" s="103">
        <f>$Z13*$AA$3</f>
        <v>0</v>
      </c>
      <c r="AB13" t="s" s="96">
        <v>66</v>
      </c>
    </row>
    <row r="14" ht="25" customHeight="1">
      <c r="A14" s="104">
        <v>40137</v>
      </c>
      <c r="B14" t="s" s="18">
        <v>79</v>
      </c>
      <c r="C14" t="s" s="18">
        <v>127</v>
      </c>
      <c r="D14" s="105">
        <v>66</v>
      </c>
      <c r="E14" s="106">
        <v>0.75</v>
      </c>
      <c r="F14" s="18"/>
      <c r="G14" t="s" s="18">
        <v>68</v>
      </c>
      <c r="H14" s="18"/>
      <c r="I14" s="18"/>
      <c r="J14" s="18"/>
      <c r="K14" s="18"/>
      <c r="L14" s="107">
        <v>4</v>
      </c>
      <c r="M14" s="108">
        <f>COUNTA($G14:$K14)</f>
        <v>1</v>
      </c>
      <c r="N14" s="109">
        <f>$M14*$D14</f>
        <v>66</v>
      </c>
      <c r="O14" s="110">
        <f>O$3*$D14*(NOT(ISBLANK($G14))*$G$3*$M14+NOT(ISBLANK($H14))*$H$3+NOT(ISBLANK($I14))*$I$3+NOT(ISBLANK($J14))*$J$3+NOT(ISBLANK($K14))*$K$3)</f>
        <v>8.712000000000002</v>
      </c>
      <c r="P14" t="s" s="111">
        <v>65</v>
      </c>
      <c r="Q14" s="112">
        <f>IF(LEFT(F14,1)="*",MID(F14,2,SEARCH(" ",F14,1)-2)*COUNTA(H14:K14),IFERROR(LEFT(F14,SEARCH(" ",F14,1)-1),1))</f>
        <v>1</v>
      </c>
      <c r="R14" s="113">
        <f>($D14*$Q14)/$M14</f>
        <v>66</v>
      </c>
      <c r="S14" s="110">
        <f>$S$3*$M14*$R14</f>
        <v>42.9</v>
      </c>
      <c r="T14" t="s" s="111">
        <v>44</v>
      </c>
      <c r="U14" s="114">
        <f>E14*(L14/5-0.5)*2</f>
        <v>0.4500000000000001</v>
      </c>
      <c r="V14" s="113">
        <f>$M14*$E14</f>
        <v>0.75</v>
      </c>
      <c r="W14" s="114">
        <f>IF($U14&gt;0,$U14*$M14)</f>
        <v>0.4500000000000001</v>
      </c>
      <c r="X14" s="115">
        <f>IF($U14&lt;=0,$U14*$M14)</f>
        <v>0</v>
      </c>
      <c r="Y14" s="116">
        <f>$U14*$M14</f>
        <v>0.4500000000000001</v>
      </c>
      <c r="Z14" s="117">
        <f>IF(LEFT(F14,1)="*",$D14,0)</f>
        <v>0</v>
      </c>
      <c r="AA14" s="118">
        <f>$Z14*$AA$3</f>
        <v>0</v>
      </c>
      <c r="AB14" t="s" s="111">
        <v>66</v>
      </c>
    </row>
    <row r="15" ht="25" customHeight="1">
      <c r="A15" s="119"/>
      <c r="B15" s="120"/>
      <c r="C15" t="s" s="120">
        <v>128</v>
      </c>
      <c r="D15" s="121">
        <f>SUM(D4:D14)</f>
        <v>352</v>
      </c>
      <c r="E15" s="122">
        <f>SUM(E4:E14)</f>
        <v>6.833333333333333</v>
      </c>
      <c r="F15" s="123"/>
      <c r="G15" s="123"/>
      <c r="H15" s="123"/>
      <c r="I15" s="123"/>
      <c r="J15" s="120"/>
      <c r="K15" s="124"/>
      <c r="L15" s="125"/>
      <c r="M15" s="126"/>
      <c r="N15" s="127">
        <f>SUM(N4:N14)</f>
        <v>532</v>
      </c>
      <c r="O15" s="128">
        <f>SUM(O4:O14)</f>
        <v>120.12</v>
      </c>
      <c r="P15" t="s" s="129">
        <v>65</v>
      </c>
      <c r="Q15" s="130"/>
      <c r="R15" s="127"/>
      <c r="S15" s="128">
        <f>SUM(S4:S14)</f>
        <v>216.008</v>
      </c>
      <c r="T15" t="s" s="129">
        <v>44</v>
      </c>
      <c r="U15" s="126">
        <f>SUM(U4:U14)</f>
        <v>2.266666666666667</v>
      </c>
      <c r="V15" s="127">
        <f>SUM(V4:V14)</f>
        <v>9.583333333333334</v>
      </c>
      <c r="W15" s="126">
        <f>SUM(W4:W14)</f>
        <v>3.766666666666667</v>
      </c>
      <c r="X15" s="121">
        <f>SUM(X4:X14)</f>
        <v>-0.15</v>
      </c>
      <c r="Y15" s="127">
        <f>SUM(Y4:Y14)</f>
        <v>3.616666666666668</v>
      </c>
      <c r="Z15" s="131">
        <f>SUM(Z4:Z14)</f>
        <v>18</v>
      </c>
      <c r="AA15" s="128">
        <f>SUM(AA4:AA14)</f>
        <v>1.8</v>
      </c>
      <c r="AB15" t="s" s="132">
        <v>66</v>
      </c>
    </row>
    <row r="16" ht="43" customHeight="1">
      <c r="A16" s="133"/>
      <c r="B16" s="134"/>
      <c r="C16" t="s" s="134">
        <v>129</v>
      </c>
      <c r="D16" s="135">
        <f>($N15-$D15)/$N15</f>
        <v>0.3383458646616541</v>
      </c>
      <c r="E16" s="136"/>
      <c r="F16" s="137"/>
      <c r="G16" s="137"/>
      <c r="H16" s="137"/>
      <c r="I16" s="137"/>
      <c r="J16" s="137"/>
      <c r="K16" s="138"/>
      <c r="L16" s="139"/>
      <c r="M16" s="140"/>
      <c r="N16" s="141"/>
      <c r="O16" s="142">
        <f>O15/$D15</f>
        <v>0.34125</v>
      </c>
      <c r="P16" t="s" s="143">
        <v>109</v>
      </c>
      <c r="Q16" s="140"/>
      <c r="R16" s="141"/>
      <c r="S16" s="142">
        <f>S15/$D15</f>
        <v>0.613659090909091</v>
      </c>
      <c r="T16" t="s" s="143">
        <v>112</v>
      </c>
      <c r="U16" s="140"/>
      <c r="V16" s="141"/>
      <c r="W16" s="144">
        <f>$W15/$V15</f>
        <v>0.3930434782608696</v>
      </c>
      <c r="X16" s="145">
        <f>$X15/$V15</f>
        <v>-0.01565217391304347</v>
      </c>
      <c r="Y16" s="146">
        <f>$Y15/$V15</f>
        <v>0.3773913043478261</v>
      </c>
      <c r="Z16" s="147"/>
      <c r="AA16" s="142">
        <f>AA15/$D15</f>
        <v>0.005113636363636364</v>
      </c>
      <c r="AB16" t="s" s="143">
        <v>114</v>
      </c>
    </row>
  </sheetData>
  <mergeCells count="1">
    <mergeCell ref="A1:AB1"/>
  </mergeCells>
  <pageMargins left="0" right="0" top="0" bottom="0" header="0" footer="0"/>
  <pageSetup firstPageNumber="1" fitToHeight="1" fitToWidth="1" scale="50" useFirstPageNumber="0" orientation="landscape" pageOrder="downThenOver"/>
  <headerFooter>
    <oddFooter>&amp;"Helvetica-Light,Regular"&amp;11&amp;P</oddFooter>
  </headerFooter>
</worksheet>
</file>

<file path=xl/worksheets/sheet5.xml><?xml version="1.0" encoding="utf-8"?>
<worksheet xmlns:r="http://schemas.openxmlformats.org/officeDocument/2006/relationships" xmlns="http://schemas.openxmlformats.org/spreadsheetml/2006/main">
  <dimension ref="A2:Q19"/>
  <sheetViews>
    <sheetView workbookViewId="0" showGridLines="0" defaultGridColor="1">
      <pane topLeftCell="C3" xSplit="2" ySplit="2" activePane="bottomRight" state="frozenSplit"/>
    </sheetView>
  </sheetViews>
  <sheetFormatPr defaultColWidth="11.559" defaultRowHeight="25" customHeight="1" outlineLevelRow="0" outlineLevelCol="0"/>
  <cols>
    <col min="1" max="1" width="8.8125" style="148" customWidth="1"/>
    <col min="2" max="2" width="20.3594" style="148" customWidth="1"/>
    <col min="3" max="3" width="8.8125" style="148" customWidth="1"/>
    <col min="4" max="4" width="6.90625" style="148" customWidth="1"/>
    <col min="5" max="5" width="8.625" style="148" customWidth="1"/>
    <col min="6" max="6" width="6.53906" style="148" customWidth="1"/>
    <col min="7" max="7" width="10.0703" style="148" customWidth="1"/>
    <col min="8" max="8" width="7.125" style="148" customWidth="1"/>
    <col min="9" max="9" width="8.625" style="148" customWidth="1"/>
    <col min="10" max="10" width="6.75" style="148" customWidth="1"/>
    <col min="11" max="11" width="8.20312" style="148" customWidth="1"/>
    <col min="12" max="12" width="6.90625" style="148" customWidth="1"/>
    <col min="13" max="13" width="10.1719" style="148" customWidth="1"/>
    <col min="14" max="14" width="6.83594" style="148" customWidth="1"/>
    <col min="15" max="15" width="10.3984" style="148" customWidth="1"/>
    <col min="16" max="16" width="6.375" style="148" customWidth="1"/>
    <col min="17" max="17" width="10.3984" style="148" customWidth="1"/>
    <col min="18" max="256" width="11.5859" style="148" customWidth="1"/>
  </cols>
  <sheetData>
    <row r="1">
      <c r="A1" t="s" s="7">
        <v>35</v>
      </c>
      <c r="B1"/>
      <c r="C1"/>
      <c r="D1"/>
      <c r="E1"/>
      <c r="F1"/>
      <c r="G1"/>
      <c r="H1"/>
      <c r="I1"/>
      <c r="J1"/>
      <c r="K1"/>
      <c r="L1"/>
      <c r="M1"/>
      <c r="N1"/>
      <c r="O1"/>
      <c r="P1"/>
      <c r="Q1"/>
    </row>
    <row r="2" ht="44" customHeight="1">
      <c r="A2" t="s" s="149">
        <v>131</v>
      </c>
      <c r="B2" t="s" s="149">
        <v>132</v>
      </c>
      <c r="C2" t="s" s="149">
        <v>133</v>
      </c>
      <c r="D2" t="s" s="149">
        <v>63</v>
      </c>
      <c r="E2" t="s" s="149">
        <v>134</v>
      </c>
      <c r="F2" t="s" s="150">
        <v>63</v>
      </c>
      <c r="G2" t="s" s="151">
        <v>135</v>
      </c>
      <c r="H2" t="s" s="152">
        <v>63</v>
      </c>
      <c r="I2" t="s" s="153">
        <v>136</v>
      </c>
      <c r="J2" t="s" s="149">
        <v>63</v>
      </c>
      <c r="K2" t="s" s="149">
        <v>134</v>
      </c>
      <c r="L2" t="s" s="150">
        <v>63</v>
      </c>
      <c r="M2" t="s" s="151">
        <v>137</v>
      </c>
      <c r="N2" t="s" s="152">
        <v>63</v>
      </c>
      <c r="O2" t="s" s="153">
        <v>138</v>
      </c>
      <c r="P2" t="s" s="149">
        <v>63</v>
      </c>
      <c r="Q2" t="s" s="149">
        <v>139</v>
      </c>
    </row>
    <row r="3" ht="36" customHeight="1">
      <c r="A3" s="154"/>
      <c r="B3" t="s" s="155">
        <v>140</v>
      </c>
      <c r="C3" s="156"/>
      <c r="D3" s="157"/>
      <c r="E3" s="158"/>
      <c r="F3" s="157"/>
      <c r="G3" s="159"/>
      <c r="H3" s="160"/>
      <c r="I3" s="157"/>
      <c r="J3" s="157"/>
      <c r="K3" s="158"/>
      <c r="L3" s="157"/>
      <c r="M3" s="159"/>
      <c r="N3" s="160"/>
      <c r="O3" s="158"/>
      <c r="P3" s="157"/>
      <c r="Q3" s="157"/>
    </row>
    <row r="4" ht="43" customHeight="1">
      <c r="A4" s="161">
        <v>1</v>
      </c>
      <c r="B4" t="s" s="162">
        <v>141</v>
      </c>
      <c r="C4" s="13">
        <f t="shared" si="0" ref="C4:I18">0</f>
        <v>0</v>
      </c>
      <c r="D4" t="s" s="20">
        <v>106</v>
      </c>
      <c r="E4" s="163">
        <f>'Déplacements - par véhicule'!$O$3*1.2</f>
        <v>0.48</v>
      </c>
      <c r="F4" t="s" s="92">
        <v>65</v>
      </c>
      <c r="G4" s="164">
        <f>$A4*$C4*$E4</f>
        <v>0</v>
      </c>
      <c r="H4" t="s" s="165">
        <v>65</v>
      </c>
      <c r="I4" s="166">
        <f t="shared" si="0"/>
        <v>0</v>
      </c>
      <c r="J4" t="s" s="20">
        <v>106</v>
      </c>
      <c r="K4" s="163">
        <f>E4</f>
        <v>0.48</v>
      </c>
      <c r="L4" t="s" s="92">
        <v>65</v>
      </c>
      <c r="M4" s="164">
        <f>$A4*$I4*$K4</f>
        <v>0</v>
      </c>
      <c r="N4" t="s" s="165">
        <v>65</v>
      </c>
      <c r="O4" s="167">
        <f>M4-G4</f>
        <v>0</v>
      </c>
      <c r="P4" t="s" s="20">
        <v>65</v>
      </c>
      <c r="Q4" t="s" s="20">
        <f>IF(G4=0,"",ABS(IFERROR((G4-M4)/G4)))</f>
      </c>
    </row>
    <row r="5" ht="24" customHeight="1">
      <c r="A5" s="161">
        <v>-1</v>
      </c>
      <c r="B5" t="s" s="162">
        <v>142</v>
      </c>
      <c r="C5" s="22">
        <f>'Déplacements - par véhicule'!N15</f>
        <v>532</v>
      </c>
      <c r="D5" t="s" s="18">
        <v>106</v>
      </c>
      <c r="E5" t="s" s="168">
        <f>'Déplacements - par véhicule'!$O$3</f>
        <v>143</v>
      </c>
      <c r="F5" t="s" s="107">
        <v>65</v>
      </c>
      <c r="G5" s="169">
        <f>$A5*$C5*$E5</f>
        <v>-212.8</v>
      </c>
      <c r="H5" t="s" s="107">
        <v>65</v>
      </c>
      <c r="I5" s="170">
        <f>'Déplacements - par véhicule'!D15</f>
        <v>352</v>
      </c>
      <c r="J5" t="s" s="18">
        <v>106</v>
      </c>
      <c r="K5" s="171">
        <f>'Déplacements - par véhicule'!O16</f>
        <v>0.34125</v>
      </c>
      <c r="L5" t="s" s="107">
        <v>65</v>
      </c>
      <c r="M5" s="169">
        <f>$A5*$I5*$K5</f>
        <v>-120.12</v>
      </c>
      <c r="N5" t="s" s="107">
        <v>65</v>
      </c>
      <c r="O5" s="169">
        <f>M5-G5</f>
        <v>92.68000000000001</v>
      </c>
      <c r="P5" t="s" s="18">
        <v>65</v>
      </c>
      <c r="Q5" s="172">
        <f>IF(G5=0,"",ABS(IFERROR((G5-M5)/G5)))</f>
        <v>0.4355263157894737</v>
      </c>
    </row>
    <row r="6" ht="41" customHeight="1">
      <c r="A6" s="161">
        <v>-1</v>
      </c>
      <c r="B6" t="s" s="162">
        <v>144</v>
      </c>
      <c r="C6" s="13">
        <v>0</v>
      </c>
      <c r="D6" t="s" s="20">
        <f>D5</f>
        <v>106</v>
      </c>
      <c r="E6" s="20">
        <v>0.0039</v>
      </c>
      <c r="F6" t="s" s="92">
        <f>F5</f>
        <v>65</v>
      </c>
      <c r="G6" s="167">
        <f>$A6*$C6*$E6</f>
        <v>-0</v>
      </c>
      <c r="H6" t="s" s="92">
        <f>H5</f>
        <v>65</v>
      </c>
      <c r="I6" s="166">
        <f>I5</f>
        <v>352</v>
      </c>
      <c r="J6" t="s" s="20">
        <f>J5</f>
        <v>106</v>
      </c>
      <c r="K6" s="173">
        <v>0.0039</v>
      </c>
      <c r="L6" t="s" s="92">
        <f>L5</f>
        <v>65</v>
      </c>
      <c r="M6" s="167">
        <f>$A6*$I6*$K6</f>
        <v>-1.3728</v>
      </c>
      <c r="N6" t="s" s="92">
        <f>N5</f>
        <v>65</v>
      </c>
      <c r="O6" s="167">
        <f>M6-G6</f>
        <v>-1.3728</v>
      </c>
      <c r="P6" t="s" s="20">
        <f>P5</f>
        <v>65</v>
      </c>
      <c r="Q6" t="s" s="20">
        <f>IF(G6=0,"",ABS(IFERROR((G6-M6)/G6)))</f>
      </c>
    </row>
    <row r="7" ht="24" customHeight="1">
      <c r="A7" s="161">
        <v>-1</v>
      </c>
      <c r="B7" t="s" s="162">
        <v>145</v>
      </c>
      <c r="C7" s="22">
        <v>0</v>
      </c>
      <c r="D7" t="s" s="18">
        <f>D6</f>
        <v>106</v>
      </c>
      <c r="E7" s="18">
        <f>E6</f>
        <v>0.0039</v>
      </c>
      <c r="F7" t="s" s="107">
        <f>F6</f>
        <v>65</v>
      </c>
      <c r="G7" s="169">
        <f>$A7*$C7*$E7</f>
        <v>-0</v>
      </c>
      <c r="H7" t="s" s="107">
        <f>H6</f>
        <v>65</v>
      </c>
      <c r="I7" s="170">
        <f>I5*10%</f>
        <v>35.2</v>
      </c>
      <c r="J7" t="s" s="18">
        <f>J6</f>
        <v>106</v>
      </c>
      <c r="K7" s="174">
        <f>K6</f>
        <v>0.0039</v>
      </c>
      <c r="L7" t="s" s="107">
        <f>L6</f>
        <v>65</v>
      </c>
      <c r="M7" s="169">
        <f>$A7*$I7*$K7</f>
        <v>-0.13728</v>
      </c>
      <c r="N7" t="s" s="107">
        <f>N6</f>
        <v>65</v>
      </c>
      <c r="O7" s="169">
        <f>M7-G7</f>
        <v>-0.13728</v>
      </c>
      <c r="P7" t="s" s="18">
        <f>P6</f>
        <v>65</v>
      </c>
      <c r="Q7" t="s" s="18">
        <f>IF(G7=0,"",ABS(IFERROR((G7-M7)/G7)))</f>
      </c>
    </row>
    <row r="8" ht="24" customHeight="1">
      <c r="A8" s="161">
        <v>-1</v>
      </c>
      <c r="B8" t="s" s="162">
        <v>146</v>
      </c>
      <c r="C8" s="13">
        <f t="shared" si="0"/>
        <v>0</v>
      </c>
      <c r="D8" t="s" s="20">
        <v>147</v>
      </c>
      <c r="E8" s="163">
        <v>400</v>
      </c>
      <c r="F8" t="s" s="92">
        <f>F6</f>
        <v>65</v>
      </c>
      <c r="G8" s="167">
        <f>$A8*$C8*$E8</f>
        <v>-0</v>
      </c>
      <c r="H8" t="s" s="92">
        <f>H6</f>
        <v>65</v>
      </c>
      <c r="I8" s="166">
        <v>0.1</v>
      </c>
      <c r="J8" t="s" s="20">
        <v>147</v>
      </c>
      <c r="K8" s="163">
        <v>400</v>
      </c>
      <c r="L8" t="s" s="92">
        <f>L6</f>
        <v>65</v>
      </c>
      <c r="M8" s="167">
        <f>$A8*$I8*$K8</f>
        <v>-40</v>
      </c>
      <c r="N8" t="s" s="92">
        <f>N6</f>
        <v>65</v>
      </c>
      <c r="O8" s="167">
        <f>M8-G8</f>
        <v>-40</v>
      </c>
      <c r="P8" t="s" s="20">
        <f>P6</f>
        <v>65</v>
      </c>
      <c r="Q8" t="s" s="20">
        <f>IF(G8=0,"",ABS(IFERROR((G8-M8)/G8)))</f>
      </c>
    </row>
    <row r="9" ht="26" customHeight="1">
      <c r="A9" s="175"/>
      <c r="B9" t="s" s="176">
        <v>72</v>
      </c>
      <c r="C9" s="177"/>
      <c r="D9" s="178"/>
      <c r="E9" s="178"/>
      <c r="F9" s="179"/>
      <c r="G9" s="180">
        <f>SUM(G3:G8)</f>
        <v>-212.8</v>
      </c>
      <c r="H9" t="s" s="179">
        <f>H6</f>
        <v>65</v>
      </c>
      <c r="I9" s="181"/>
      <c r="J9" s="178"/>
      <c r="K9" s="182"/>
      <c r="L9" s="179"/>
      <c r="M9" s="180">
        <f>SUM(M3:M8)</f>
        <v>-161.63008</v>
      </c>
      <c r="N9" t="s" s="179">
        <f>N6</f>
        <v>65</v>
      </c>
      <c r="O9" s="180">
        <f>SUM(O3:O8)</f>
        <v>51.16992</v>
      </c>
      <c r="P9" t="s" s="178">
        <f>P6</f>
        <v>65</v>
      </c>
      <c r="Q9" s="178"/>
    </row>
    <row r="10" ht="36" customHeight="1">
      <c r="A10" s="154"/>
      <c r="B10" t="s" s="155">
        <v>58</v>
      </c>
      <c r="C10" s="156"/>
      <c r="D10" s="157"/>
      <c r="E10" s="158"/>
      <c r="F10" s="157"/>
      <c r="G10" s="159"/>
      <c r="H10" s="160"/>
      <c r="I10" s="157"/>
      <c r="J10" s="157"/>
      <c r="K10" s="158"/>
      <c r="L10" s="157"/>
      <c r="M10" s="159"/>
      <c r="N10" s="160"/>
      <c r="O10" s="158"/>
      <c r="P10" s="157"/>
      <c r="Q10" s="157"/>
    </row>
    <row r="11" ht="43" customHeight="1">
      <c r="A11" s="161">
        <v>-1</v>
      </c>
      <c r="B11" t="s" s="162">
        <v>148</v>
      </c>
      <c r="C11" s="22">
        <f>C5</f>
        <v>532</v>
      </c>
      <c r="D11" t="s" s="18">
        <f>D5</f>
        <v>106</v>
      </c>
      <c r="E11" t="s" s="168">
        <f>LEFT('Déplacements - par véhicule'!S3,4)</f>
        <v>111</v>
      </c>
      <c r="F11" t="s" s="107">
        <v>44</v>
      </c>
      <c r="G11" s="183">
        <f>$A11*$C11*$E11</f>
        <v>-345.8</v>
      </c>
      <c r="H11" t="s" s="184">
        <v>44</v>
      </c>
      <c r="I11" s="170">
        <f>I5</f>
        <v>352</v>
      </c>
      <c r="J11" t="s" s="18">
        <f>J5</f>
        <v>106</v>
      </c>
      <c r="K11" s="171">
        <f>'Déplacements - par véhicule'!$S$16</f>
        <v>0.613659090909091</v>
      </c>
      <c r="L11" t="s" s="107">
        <v>44</v>
      </c>
      <c r="M11" s="183">
        <f>$A11*$I11*$K11</f>
        <v>-216.008</v>
      </c>
      <c r="N11" t="s" s="184">
        <v>44</v>
      </c>
      <c r="O11" s="169">
        <f>M11-G11</f>
        <v>129.792</v>
      </c>
      <c r="P11" t="s" s="18">
        <v>44</v>
      </c>
      <c r="Q11" s="172">
        <f>IF(G11=0,"",ABS(IFERROR((G11-M11)/G11)))</f>
        <v>0.3753383458646616</v>
      </c>
    </row>
    <row r="12" ht="41" customHeight="1">
      <c r="A12" s="161">
        <v>1</v>
      </c>
      <c r="B12" t="s" s="162">
        <v>144</v>
      </c>
      <c r="C12" s="13">
        <f>C6</f>
        <v>0</v>
      </c>
      <c r="D12" t="s" s="20">
        <f>D11</f>
        <v>106</v>
      </c>
      <c r="E12" t="s" s="185">
        <f>E11</f>
        <v>149</v>
      </c>
      <c r="F12" t="s" s="92">
        <f>F11</f>
        <v>44</v>
      </c>
      <c r="G12" s="186">
        <f>$A12*$C12*$E12</f>
        <v>0</v>
      </c>
      <c r="H12" t="s" s="187">
        <f>H11</f>
        <v>44</v>
      </c>
      <c r="I12" s="166">
        <f>I6</f>
        <v>352</v>
      </c>
      <c r="J12" t="s" s="20">
        <f>J11</f>
        <v>106</v>
      </c>
      <c r="K12" s="163">
        <f>K11</f>
        <v>0.613659090909091</v>
      </c>
      <c r="L12" t="s" s="92">
        <f>L11</f>
        <v>44</v>
      </c>
      <c r="M12" s="186">
        <f>$A12*$I12*$K12</f>
        <v>216.008</v>
      </c>
      <c r="N12" t="s" s="187">
        <f>N11</f>
        <v>44</v>
      </c>
      <c r="O12" s="167">
        <f>M12-G12</f>
        <v>216.008</v>
      </c>
      <c r="P12" t="s" s="20">
        <f>P11</f>
        <v>44</v>
      </c>
      <c r="Q12" t="s" s="20">
        <f>IF(G12=0,"",ABS(IFERROR((G12-M12)/G12)))</f>
      </c>
    </row>
    <row r="13" ht="24" customHeight="1">
      <c r="A13" s="161">
        <v>1</v>
      </c>
      <c r="B13" t="s" s="162">
        <v>145</v>
      </c>
      <c r="C13" s="22">
        <f>C7</f>
        <v>0</v>
      </c>
      <c r="D13" t="s" s="18">
        <f>D12</f>
        <v>106</v>
      </c>
      <c r="E13" t="s" s="168">
        <f>E11</f>
        <v>149</v>
      </c>
      <c r="F13" t="s" s="107">
        <f>F12</f>
        <v>44</v>
      </c>
      <c r="G13" s="188">
        <f>$A13*$C13*$E13</f>
        <v>0</v>
      </c>
      <c r="H13" t="s" s="189">
        <f>H12</f>
        <v>44</v>
      </c>
      <c r="I13" s="170">
        <f>I7</f>
        <v>35.2</v>
      </c>
      <c r="J13" t="s" s="18">
        <f>J12</f>
        <v>106</v>
      </c>
      <c r="K13" s="171">
        <f>K11</f>
        <v>0.613659090909091</v>
      </c>
      <c r="L13" t="s" s="107">
        <f>L12</f>
        <v>44</v>
      </c>
      <c r="M13" s="188">
        <f>$A13*$I13*$K13</f>
        <v>21.6008</v>
      </c>
      <c r="N13" t="s" s="189">
        <f>N12</f>
        <v>44</v>
      </c>
      <c r="O13" s="169">
        <f>M13-G13</f>
        <v>21.6008</v>
      </c>
      <c r="P13" t="s" s="18">
        <f>P12</f>
        <v>44</v>
      </c>
      <c r="Q13" t="s" s="18">
        <f>IF(G13=0,"",ABS(IFERROR((G13-M13)/G13)))</f>
      </c>
    </row>
    <row r="14" ht="24" customHeight="1">
      <c r="A14" s="161">
        <v>1</v>
      </c>
      <c r="B14" t="s" s="162">
        <v>146</v>
      </c>
      <c r="C14" s="13">
        <f>C8</f>
        <v>0</v>
      </c>
      <c r="D14" t="s" s="20">
        <v>147</v>
      </c>
      <c r="E14" s="163">
        <v>1</v>
      </c>
      <c r="F14" t="s" s="92">
        <f>F12</f>
        <v>44</v>
      </c>
      <c r="G14" s="186">
        <f>$A14*$C14*$E14</f>
        <v>0</v>
      </c>
      <c r="H14" t="s" s="187">
        <f>H12</f>
        <v>44</v>
      </c>
      <c r="I14" s="166">
        <f>I8</f>
        <v>0.1</v>
      </c>
      <c r="J14" t="s" s="20">
        <v>147</v>
      </c>
      <c r="K14" s="163">
        <v>1</v>
      </c>
      <c r="L14" t="s" s="92">
        <f>L12</f>
        <v>44</v>
      </c>
      <c r="M14" s="186">
        <f>$A14*$I14*$K14</f>
        <v>0.1</v>
      </c>
      <c r="N14" t="s" s="187">
        <f>N12</f>
        <v>44</v>
      </c>
      <c r="O14" s="167">
        <f>M14-G14</f>
        <v>0.1</v>
      </c>
      <c r="P14" t="s" s="20">
        <f>P12</f>
        <v>44</v>
      </c>
      <c r="Q14" t="s" s="20">
        <f>IF(G14=0,"",ABS(IFERROR((G14-M14)/G14)))</f>
      </c>
    </row>
    <row r="15" ht="26" customHeight="1">
      <c r="A15" s="175"/>
      <c r="B15" t="s" s="176">
        <v>72</v>
      </c>
      <c r="C15" s="177"/>
      <c r="D15" s="178"/>
      <c r="E15" s="178"/>
      <c r="F15" s="179"/>
      <c r="G15" s="190">
        <f>SUM(G10:G14)</f>
        <v>-345.8</v>
      </c>
      <c r="H15" t="s" s="191">
        <f>H12</f>
        <v>44</v>
      </c>
      <c r="I15" s="181"/>
      <c r="J15" s="178"/>
      <c r="K15" s="178"/>
      <c r="L15" s="179"/>
      <c r="M15" s="190">
        <f>SUM(M10:M14)</f>
        <v>21.7008</v>
      </c>
      <c r="N15" t="s" s="191">
        <f>N12</f>
        <v>44</v>
      </c>
      <c r="O15" s="180">
        <f>SUM(O10:O14)</f>
        <v>367.5008</v>
      </c>
      <c r="P15" t="s" s="178">
        <f>P12</f>
        <v>44</v>
      </c>
      <c r="Q15" s="178"/>
    </row>
    <row r="16" ht="36" customHeight="1">
      <c r="A16" s="154"/>
      <c r="B16" t="s" s="155">
        <v>59</v>
      </c>
      <c r="C16" s="156"/>
      <c r="D16" s="157"/>
      <c r="E16" s="158"/>
      <c r="F16" s="157"/>
      <c r="G16" s="159"/>
      <c r="H16" s="160"/>
      <c r="I16" s="157"/>
      <c r="J16" s="157"/>
      <c r="K16" s="158"/>
      <c r="L16" s="157"/>
      <c r="M16" s="159"/>
      <c r="N16" s="160"/>
      <c r="O16" s="158"/>
      <c r="P16" s="157"/>
      <c r="Q16" s="157"/>
    </row>
    <row r="17" ht="43" customHeight="1">
      <c r="A17" s="161">
        <v>1</v>
      </c>
      <c r="B17" t="s" s="162">
        <v>150</v>
      </c>
      <c r="C17" s="27">
        <f t="shared" si="115" ref="C17:I17">'Déplacements - par véhicule'!$V15</f>
        <v>9.583333333333334</v>
      </c>
      <c r="D17" t="s" s="18">
        <v>151</v>
      </c>
      <c r="E17" s="171">
        <f>0.2</f>
        <v>0.2</v>
      </c>
      <c r="F17" t="s" s="107">
        <v>49</v>
      </c>
      <c r="G17" s="183">
        <f>$A17*$C17*$E17</f>
        <v>1.916666666666667</v>
      </c>
      <c r="H17" t="s" s="184">
        <v>51</v>
      </c>
      <c r="I17" s="169">
        <f t="shared" si="115"/>
        <v>9.583333333333334</v>
      </c>
      <c r="J17" t="s" s="18">
        <f>D17</f>
        <v>151</v>
      </c>
      <c r="K17" s="171">
        <f>'Déplacements - par véhicule'!W16</f>
        <v>0.3930434782608696</v>
      </c>
      <c r="L17" t="s" s="107">
        <v>49</v>
      </c>
      <c r="M17" s="183">
        <f>$A17*$I17*$K17</f>
        <v>3.766666666666667</v>
      </c>
      <c r="N17" t="s" s="184">
        <v>51</v>
      </c>
      <c r="O17" s="169">
        <f>M17-G17</f>
        <v>1.850000000000001</v>
      </c>
      <c r="P17" t="s" s="18">
        <v>51</v>
      </c>
      <c r="Q17" s="172">
        <f>IF(G17=0,"",ABS(IFERROR((G17-M17)/G17)))</f>
        <v>0.9652173913043479</v>
      </c>
    </row>
    <row r="18" ht="41" customHeight="1">
      <c r="A18" s="161">
        <v>-1</v>
      </c>
      <c r="B18" t="s" s="162">
        <v>152</v>
      </c>
      <c r="C18" s="13">
        <f t="shared" si="124" ref="C18:I18">'Déplacements - par véhicule'!$V15</f>
        <v>9.583333333333334</v>
      </c>
      <c r="D18" t="s" s="20">
        <v>151</v>
      </c>
      <c r="E18" s="163">
        <f t="shared" si="0"/>
        <v>0</v>
      </c>
      <c r="F18" t="s" s="92">
        <v>49</v>
      </c>
      <c r="G18" s="186">
        <f>$A18*$C18*$E18</f>
        <v>-0</v>
      </c>
      <c r="H18" t="s" s="187">
        <v>51</v>
      </c>
      <c r="I18" s="167">
        <f t="shared" si="124"/>
        <v>9.583333333333334</v>
      </c>
      <c r="J18" t="s" s="20">
        <f>D18</f>
        <v>151</v>
      </c>
      <c r="K18" s="163">
        <f>'Déplacements - par véhicule'!X16*-1</f>
        <v>0.01565217391304347</v>
      </c>
      <c r="L18" t="s" s="92">
        <v>49</v>
      </c>
      <c r="M18" s="186">
        <f>$A18*$I18*$K18</f>
        <v>-0.15</v>
      </c>
      <c r="N18" t="s" s="187">
        <v>51</v>
      </c>
      <c r="O18" s="167">
        <f>M18-G18</f>
        <v>-0.15</v>
      </c>
      <c r="P18" t="s" s="20">
        <v>51</v>
      </c>
      <c r="Q18" t="s" s="20">
        <f>IF(G18=0,"",ABS(IFERROR((G18-M18)/G18)))</f>
      </c>
    </row>
    <row r="19" ht="26" customHeight="1">
      <c r="A19" s="192"/>
      <c r="B19" t="s" s="193">
        <v>72</v>
      </c>
      <c r="C19" s="25"/>
      <c r="D19" s="26"/>
      <c r="E19" s="26"/>
      <c r="F19" s="194"/>
      <c r="G19" s="190">
        <f>SUM(G16:G18)</f>
        <v>1.916666666666667</v>
      </c>
      <c r="H19" t="s" s="191">
        <f>H18</f>
        <v>51</v>
      </c>
      <c r="I19" s="195"/>
      <c r="J19" s="26"/>
      <c r="K19" s="26"/>
      <c r="L19" s="194"/>
      <c r="M19" s="190">
        <f>SUM(M16:M18)</f>
        <v>3.616666666666668</v>
      </c>
      <c r="N19" t="s" s="191">
        <f>N18</f>
        <v>51</v>
      </c>
      <c r="O19" s="196">
        <f>SUM(O16:O18)</f>
        <v>1.700000000000001</v>
      </c>
      <c r="P19" t="s" s="26">
        <f>P18</f>
        <v>51</v>
      </c>
      <c r="Q19" s="26"/>
    </row>
  </sheetData>
  <mergeCells count="1">
    <mergeCell ref="A1:Q1"/>
  </mergeCells>
  <pageMargins left="0" right="0" top="0" bottom="0" header="0" footer="0"/>
  <pageSetup firstPageNumber="1" fitToHeight="1" fitToWidth="1" scale="50" useFirstPageNumber="0" orientation="landscape" pageOrder="downThenOver"/>
  <headerFooter>
    <oddFooter>&amp;"Helvetica-Light,Regular"&amp;11&amp;P</oddFooter>
  </headerFooter>
</worksheet>
</file>

<file path=xl/worksheets/sheet6.xml><?xml version="1.0" encoding="utf-8"?>
<worksheet xmlns:r="http://schemas.openxmlformats.org/officeDocument/2006/relationships" xmlns="http://schemas.openxmlformats.org/spreadsheetml/2006/main">
  <dimension ref="A2:D6"/>
  <sheetViews>
    <sheetView workbookViewId="0" showGridLines="0" defaultGridColor="1">
      <pane topLeftCell="B3" xSplit="1" ySplit="2" activePane="bottomRight" state="frozenSplit"/>
    </sheetView>
  </sheetViews>
  <sheetFormatPr defaultColWidth="24.5" defaultRowHeight="25" customHeight="1" outlineLevelRow="0" outlineLevelCol="0"/>
  <cols>
    <col min="1" max="1" width="19.4375" style="197" customWidth="1"/>
    <col min="2" max="2" width="26.0547" style="197" customWidth="1"/>
    <col min="3" max="3" width="26.0547" style="197" customWidth="1"/>
    <col min="4" max="4" width="26.0547" style="197" customWidth="1"/>
    <col min="5" max="256" width="24.5" style="197" customWidth="1"/>
  </cols>
  <sheetData>
    <row r="1">
      <c r="A1" t="s" s="7">
        <v>9</v>
      </c>
      <c r="B1"/>
      <c r="C1"/>
      <c r="D1"/>
    </row>
    <row r="2" ht="24" customHeight="1">
      <c r="A2" s="9"/>
      <c r="B2" t="s" s="8">
        <v>57</v>
      </c>
      <c r="C2" t="s" s="8">
        <v>58</v>
      </c>
      <c r="D2" t="s" s="8">
        <v>59</v>
      </c>
    </row>
    <row r="3" ht="58" customHeight="1">
      <c r="A3" t="s" s="10">
        <v>154</v>
      </c>
      <c r="B3" t="s" s="198">
        <v>155</v>
      </c>
      <c r="C3" t="s" s="199">
        <v>156</v>
      </c>
      <c r="D3" t="s" s="199">
        <v>157</v>
      </c>
    </row>
    <row r="4" ht="92" customHeight="1">
      <c r="A4" t="s" s="10">
        <v>158</v>
      </c>
      <c r="B4" t="s" s="200">
        <v>159</v>
      </c>
      <c r="C4" t="s" s="21">
        <v>160</v>
      </c>
      <c r="D4" t="s" s="21">
        <v>161</v>
      </c>
    </row>
    <row r="5" ht="92" customHeight="1">
      <c r="A5" t="s" s="10">
        <v>162</v>
      </c>
      <c r="B5" t="s" s="201">
        <v>163</v>
      </c>
      <c r="C5" t="s" s="17">
        <v>164</v>
      </c>
      <c r="D5" t="s" s="17">
        <v>165</v>
      </c>
    </row>
    <row r="6" ht="109" customHeight="1">
      <c r="A6" t="s" s="10">
        <v>166</v>
      </c>
      <c r="B6" t="s" s="200">
        <v>167</v>
      </c>
      <c r="C6" t="s" s="21">
        <v>168</v>
      </c>
      <c r="D6" t="s" s="21">
        <v>165</v>
      </c>
    </row>
  </sheetData>
  <mergeCells count="1">
    <mergeCell ref="A1:D1"/>
  </mergeCells>
  <pageMargins left="0" right="0" top="0" bottom="0" header="0" footer="0"/>
  <pageSetup firstPageNumber="1" fitToHeight="1" fitToWidth="1" scale="50" useFirstPageNumber="0" orientation="landscape" pageOrder="downThenOver"/>
  <headerFooter>
    <oddFooter>&amp;"Helvetica-Light,Regular"&amp;11&amp;P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